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แนนปี 2569\งานบัญชีแนน2569\งานประจำเดือนปีงบประมาณ 2569\รายงานประจำเดือน 2569 ใช้ตัวนี้\ต้นทุนต่อหน่วย(ส่งให้กรมฯทุกปี)ปี2561-ปัจจุบัน\ต้นทุนปี 2568\12 ตาราง ปี 2568\"/>
    </mc:Choice>
  </mc:AlternateContent>
  <xr:revisionPtr revIDLastSave="0" documentId="13_ncr:1_{CD5B3A12-F8C9-4B3B-B705-7B3EF2910F02}" xr6:coauthVersionLast="47" xr6:coauthVersionMax="47" xr10:uidLastSave="{00000000-0000-0000-0000-000000000000}"/>
  <bookViews>
    <workbookView xWindow="-120" yWindow="-120" windowWidth="29040" windowHeight="15720" tabRatio="837" firstSheet="7" activeTab="24" xr2:uid="{00000000-000D-0000-FFFF-FFFF00000000}"/>
  </bookViews>
  <sheets>
    <sheet name="ตารางที่ 1 (2)" sheetId="11" r:id="rId1"/>
    <sheet name="table1" sheetId="8" r:id="rId2"/>
    <sheet name="รายงานต้นทุนตามแหล่งเงิน" sheetId="9" r:id="rId3"/>
    <sheet name="รายการที่ตัดออก" sheetId="10" r:id="rId4"/>
    <sheet name="GF" sheetId="6" r:id="rId5"/>
    <sheet name="Sheet1" sheetId="33" r:id="rId6"/>
    <sheet name="ตารางที่ 1" sheetId="13" r:id="rId7"/>
    <sheet name="1.1" sheetId="14" r:id="rId8"/>
    <sheet name="ตาราง 2" sheetId="15" r:id="rId9"/>
    <sheet name="ตาราง3" sheetId="16" r:id="rId10"/>
    <sheet name="3.1" sheetId="17" r:id="rId11"/>
    <sheet name="3.2" sheetId="18" r:id="rId12"/>
    <sheet name="ตาราง4" sheetId="19" r:id="rId13"/>
    <sheet name="4.1" sheetId="20" r:id="rId14"/>
    <sheet name="ตาราง5" sheetId="21" r:id="rId15"/>
    <sheet name="ตาราง6" sheetId="22" r:id="rId16"/>
    <sheet name="ตาราง7" sheetId="23" r:id="rId17"/>
    <sheet name="ตาราง8" sheetId="24" r:id="rId18"/>
    <sheet name="ตาราง9" sheetId="25" r:id="rId19"/>
    <sheet name="ตาราง10" sheetId="26" r:id="rId20"/>
    <sheet name="ตาราง11" sheetId="27" r:id="rId21"/>
    <sheet name="ตาราง12" sheetId="28" r:id="rId22"/>
    <sheet name="ตาราง12.1" sheetId="31" r:id="rId23"/>
    <sheet name="ปันส่วนเงินงบประมาณ 2" sheetId="29" r:id="rId24"/>
    <sheet name="ปันส่วนเงินนอกงบประมาณ" sheetId="30" r:id="rId25"/>
    <sheet name="Sheet2" sheetId="32" r:id="rId26"/>
  </sheets>
  <externalReferences>
    <externalReference r:id="rId27"/>
    <externalReference r:id="rId28"/>
  </externalReferences>
  <definedNames>
    <definedName name="_xlnm.Print_Area" localSheetId="0">'ตารางที่ 1 (2)'!$A$1:$F$36</definedName>
    <definedName name="_xlnm.Print_Titles" localSheetId="10">'3.1'!$2:$2</definedName>
    <definedName name="_xlnm.Print_Titles" localSheetId="11">'3.2'!$1:$2</definedName>
    <definedName name="_xlnm.Print_Titles" localSheetId="9">ตาราง3!$1:$3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2" i="23" l="1"/>
  <c r="V16" i="26"/>
  <c r="C93" i="27"/>
  <c r="L16" i="31"/>
  <c r="I73" i="28" l="1"/>
  <c r="G73" i="28"/>
  <c r="F73" i="28"/>
  <c r="B73" i="28"/>
  <c r="E58" i="28"/>
  <c r="I35" i="28"/>
  <c r="G35" i="28"/>
  <c r="F35" i="28"/>
  <c r="B35" i="28"/>
  <c r="R77" i="28"/>
  <c r="M66" i="15"/>
  <c r="R76" i="28"/>
  <c r="K66" i="15"/>
  <c r="D37" i="27"/>
  <c r="E37" i="27"/>
  <c r="F37" i="27"/>
  <c r="G37" i="27"/>
  <c r="H37" i="27"/>
  <c r="I37" i="27"/>
  <c r="N37" i="27"/>
  <c r="O37" i="27"/>
  <c r="P37" i="27"/>
  <c r="Q37" i="27"/>
  <c r="M37" i="27"/>
  <c r="K37" i="27"/>
  <c r="K75" i="27"/>
  <c r="P77" i="27"/>
  <c r="E60" i="30"/>
  <c r="C60" i="30"/>
  <c r="F67" i="15"/>
  <c r="B66" i="15"/>
  <c r="K77" i="27"/>
  <c r="G35" i="27"/>
  <c r="G74" i="27"/>
  <c r="H53" i="27"/>
  <c r="D53" i="27"/>
  <c r="I53" i="27" s="1"/>
  <c r="C37" i="27"/>
  <c r="E11" i="25"/>
  <c r="E9" i="25"/>
  <c r="D9" i="25"/>
  <c r="E10" i="24"/>
  <c r="D10" i="24"/>
  <c r="C10" i="24"/>
  <c r="N61" i="30" l="1"/>
  <c r="E56" i="29"/>
  <c r="E55" i="29"/>
  <c r="E42" i="29"/>
  <c r="E40" i="29"/>
  <c r="E38" i="29"/>
  <c r="E27" i="29"/>
  <c r="E24" i="29"/>
  <c r="E16" i="29"/>
  <c r="E12" i="29"/>
  <c r="D56" i="29"/>
  <c r="D13" i="29"/>
  <c r="D34" i="13" l="1"/>
  <c r="D25" i="13"/>
  <c r="D21" i="13"/>
  <c r="D35" i="13" s="1"/>
  <c r="E16" i="13"/>
  <c r="D16" i="13"/>
  <c r="C16" i="13"/>
  <c r="F15" i="13"/>
  <c r="F14" i="13"/>
  <c r="F13" i="13"/>
  <c r="E12" i="13"/>
  <c r="D12" i="13"/>
  <c r="C12" i="13"/>
  <c r="F12" i="13" s="1"/>
  <c r="E11" i="13"/>
  <c r="D11" i="13"/>
  <c r="C11" i="13"/>
  <c r="F11" i="13" s="1"/>
  <c r="E10" i="13"/>
  <c r="D10" i="13"/>
  <c r="C10" i="13"/>
  <c r="E9" i="13"/>
  <c r="D9" i="13"/>
  <c r="C9" i="13"/>
  <c r="F9" i="13" s="1"/>
  <c r="E8" i="13"/>
  <c r="D8" i="13"/>
  <c r="C8" i="13"/>
  <c r="F8" i="13" s="1"/>
  <c r="E7" i="13"/>
  <c r="D7" i="13"/>
  <c r="C7" i="13"/>
  <c r="E6" i="13"/>
  <c r="D6" i="13"/>
  <c r="C6" i="13"/>
  <c r="F6" i="13" s="1"/>
  <c r="E5" i="13"/>
  <c r="D5" i="13"/>
  <c r="C5" i="13"/>
  <c r="F7" i="13" l="1"/>
  <c r="C17" i="13"/>
  <c r="D17" i="13"/>
  <c r="E17" i="13"/>
  <c r="F16" i="13"/>
  <c r="F10" i="13"/>
  <c r="F5" i="13"/>
  <c r="F17" i="13" l="1"/>
  <c r="D36" i="13" s="1"/>
  <c r="C80" i="23"/>
  <c r="E80" i="23"/>
  <c r="E81" i="23"/>
  <c r="D80" i="23"/>
  <c r="B80" i="23"/>
  <c r="O63" i="23"/>
  <c r="S63" i="23" s="1"/>
  <c r="F63" i="23"/>
  <c r="H60" i="16"/>
  <c r="F46" i="23"/>
  <c r="F9" i="23"/>
  <c r="F10" i="23"/>
  <c r="F11" i="23"/>
  <c r="F12" i="23"/>
  <c r="F13" i="23"/>
  <c r="F8" i="23"/>
  <c r="C59" i="30" l="1"/>
  <c r="C57" i="30"/>
  <c r="C56" i="30"/>
  <c r="C55" i="30"/>
  <c r="C54" i="30"/>
  <c r="C53" i="30"/>
  <c r="C52" i="30"/>
  <c r="C51" i="30"/>
  <c r="C50" i="30"/>
  <c r="C49" i="30"/>
  <c r="C48" i="30"/>
  <c r="C47" i="30"/>
  <c r="C46" i="30"/>
  <c r="C45" i="30"/>
  <c r="C44" i="30"/>
  <c r="C43" i="30"/>
  <c r="C42" i="30"/>
  <c r="C41" i="30"/>
  <c r="C40" i="30"/>
  <c r="C39" i="30"/>
  <c r="C38" i="30"/>
  <c r="C37" i="30"/>
  <c r="C36" i="30"/>
  <c r="C34" i="30"/>
  <c r="C33" i="30"/>
  <c r="C32" i="30"/>
  <c r="C31" i="30"/>
  <c r="C30" i="30"/>
  <c r="C29" i="30"/>
  <c r="C28" i="30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1" i="30"/>
  <c r="C10" i="30"/>
  <c r="C9" i="30"/>
  <c r="C8" i="30"/>
  <c r="C7" i="30"/>
  <c r="B81" i="23"/>
  <c r="C37" i="28"/>
  <c r="D37" i="28"/>
  <c r="F37" i="28"/>
  <c r="G37" i="28"/>
  <c r="H37" i="28"/>
  <c r="I37" i="28"/>
  <c r="K37" i="28"/>
  <c r="L37" i="28"/>
  <c r="M37" i="28"/>
  <c r="N37" i="28"/>
  <c r="O37" i="28"/>
  <c r="P37" i="28"/>
  <c r="Q37" i="28"/>
  <c r="R37" i="28"/>
  <c r="S37" i="28"/>
  <c r="B37" i="28"/>
  <c r="S36" i="28"/>
  <c r="R36" i="28"/>
  <c r="Q36" i="28"/>
  <c r="P36" i="28"/>
  <c r="O36" i="28"/>
  <c r="N36" i="28"/>
  <c r="M36" i="28"/>
  <c r="L36" i="28"/>
  <c r="K36" i="28"/>
  <c r="E36" i="28"/>
  <c r="T36" i="28" s="1"/>
  <c r="O36" i="27"/>
  <c r="H36" i="27"/>
  <c r="D36" i="27"/>
  <c r="O45" i="23"/>
  <c r="O46" i="23"/>
  <c r="S46" i="23" s="1"/>
  <c r="J36" i="28" l="1"/>
  <c r="I36" i="27"/>
  <c r="E30" i="17"/>
  <c r="F104" i="18" s="1"/>
  <c r="D30" i="17"/>
  <c r="E104" i="18" s="1"/>
  <c r="E105" i="18" s="1"/>
  <c r="E43" i="16" s="1"/>
  <c r="H42" i="16"/>
  <c r="H43" i="16"/>
  <c r="N33" i="15"/>
  <c r="M33" i="15"/>
  <c r="L33" i="15"/>
  <c r="K33" i="15"/>
  <c r="J33" i="15"/>
  <c r="I33" i="15"/>
  <c r="H33" i="15"/>
  <c r="G33" i="15"/>
  <c r="E33" i="15"/>
  <c r="D33" i="15"/>
  <c r="N36" i="27" s="1"/>
  <c r="C33" i="15"/>
  <c r="M36" i="27" s="1"/>
  <c r="P36" i="27" s="1"/>
  <c r="S36" i="27" s="1"/>
  <c r="B33" i="15"/>
  <c r="K36" i="27" s="1"/>
  <c r="L36" i="27" s="1"/>
  <c r="D55" i="30"/>
  <c r="D48" i="30"/>
  <c r="D49" i="30"/>
  <c r="D50" i="30"/>
  <c r="D51" i="30"/>
  <c r="D52" i="30"/>
  <c r="D53" i="30"/>
  <c r="D54" i="30"/>
  <c r="D56" i="30"/>
  <c r="D57" i="30"/>
  <c r="D45" i="30"/>
  <c r="D44" i="30"/>
  <c r="D43" i="30"/>
  <c r="D42" i="30"/>
  <c r="D41" i="30"/>
  <c r="D40" i="30"/>
  <c r="D39" i="30"/>
  <c r="D38" i="30"/>
  <c r="D37" i="30"/>
  <c r="D36" i="30"/>
  <c r="D33" i="30"/>
  <c r="D32" i="30"/>
  <c r="D31" i="30"/>
  <c r="D30" i="30"/>
  <c r="D29" i="30"/>
  <c r="D28" i="30"/>
  <c r="D27" i="30"/>
  <c r="D26" i="30"/>
  <c r="D25" i="30"/>
  <c r="D24" i="30"/>
  <c r="D23" i="30"/>
  <c r="D22" i="30"/>
  <c r="D21" i="30"/>
  <c r="D20" i="30"/>
  <c r="D19" i="30"/>
  <c r="D18" i="30"/>
  <c r="D17" i="30"/>
  <c r="D15" i="30"/>
  <c r="D14" i="30"/>
  <c r="D13" i="30"/>
  <c r="D11" i="30"/>
  <c r="D10" i="30"/>
  <c r="D9" i="30"/>
  <c r="D8" i="30"/>
  <c r="E36" i="30"/>
  <c r="B23" i="29"/>
  <c r="B24" i="30"/>
  <c r="B24" i="29"/>
  <c r="B58" i="30"/>
  <c r="B40" i="30"/>
  <c r="B30" i="30"/>
  <c r="B22" i="30"/>
  <c r="B16" i="30"/>
  <c r="B10" i="30"/>
  <c r="B8" i="30"/>
  <c r="B39" i="29"/>
  <c r="B57" i="29" s="1"/>
  <c r="B58" i="29" s="1"/>
  <c r="B21" i="29"/>
  <c r="B29" i="29"/>
  <c r="B15" i="29"/>
  <c r="E34" i="30"/>
  <c r="E17" i="30"/>
  <c r="B9" i="29"/>
  <c r="B7" i="29"/>
  <c r="C52" i="29"/>
  <c r="C49" i="29"/>
  <c r="E56" i="30"/>
  <c r="E54" i="30"/>
  <c r="E55" i="30"/>
  <c r="E13" i="30"/>
  <c r="E51" i="30"/>
  <c r="E52" i="30"/>
  <c r="E25" i="30"/>
  <c r="E50" i="30"/>
  <c r="E53" i="30"/>
  <c r="E44" i="30"/>
  <c r="E8" i="30"/>
  <c r="E31" i="30"/>
  <c r="E24" i="30"/>
  <c r="E28" i="30"/>
  <c r="E23" i="30"/>
  <c r="E30" i="30"/>
  <c r="E27" i="30"/>
  <c r="E26" i="30"/>
  <c r="E15" i="30"/>
  <c r="E21" i="30"/>
  <c r="B222" i="20" l="1"/>
  <c r="L46" i="23"/>
  <c r="V36" i="28"/>
  <c r="U36" i="28"/>
  <c r="F33" i="15"/>
  <c r="O33" i="15" s="1"/>
  <c r="R36" i="27"/>
  <c r="Q36" i="27"/>
  <c r="T36" i="27" s="1"/>
  <c r="F105" i="18"/>
  <c r="F43" i="16" s="1"/>
  <c r="E19" i="30"/>
  <c r="E22" i="30"/>
  <c r="E16" i="30"/>
  <c r="E14" i="30"/>
  <c r="E11" i="30"/>
  <c r="E10" i="30"/>
  <c r="E40" i="30"/>
  <c r="E42" i="30"/>
  <c r="E46" i="30"/>
  <c r="E45" i="30"/>
  <c r="E37" i="30"/>
  <c r="E43" i="30"/>
  <c r="E48" i="30"/>
  <c r="E39" i="30"/>
  <c r="E38" i="30"/>
  <c r="C12" i="29"/>
  <c r="C23" i="29"/>
  <c r="C31" i="29"/>
  <c r="C14" i="29"/>
  <c r="C18" i="29"/>
  <c r="C53" i="29"/>
  <c r="C13" i="29"/>
  <c r="C39" i="29"/>
  <c r="C40" i="29"/>
  <c r="C46" i="29"/>
  <c r="C38" i="29"/>
  <c r="C37" i="29"/>
  <c r="C28" i="29"/>
  <c r="C30" i="29"/>
  <c r="C17" i="29"/>
  <c r="C15" i="29"/>
  <c r="C51" i="29"/>
  <c r="C55" i="29"/>
  <c r="C41" i="29"/>
  <c r="C45" i="29"/>
  <c r="C42" i="29"/>
  <c r="C27" i="29"/>
  <c r="C32" i="29"/>
  <c r="C29" i="29"/>
  <c r="C26" i="29"/>
  <c r="C22" i="29"/>
  <c r="C24" i="29"/>
  <c r="C44" i="29"/>
  <c r="C36" i="29"/>
  <c r="C7" i="29"/>
  <c r="H222" i="20" l="1"/>
  <c r="J222" i="20"/>
  <c r="D222" i="20"/>
  <c r="F222" i="20"/>
  <c r="B312" i="20"/>
  <c r="M46" i="23"/>
  <c r="C43" i="29"/>
  <c r="C19" i="29"/>
  <c r="C21" i="29"/>
  <c r="C20" i="29"/>
  <c r="C16" i="29"/>
  <c r="C10" i="29"/>
  <c r="C50" i="29"/>
  <c r="C54" i="29"/>
  <c r="C9" i="29"/>
  <c r="C8" i="29"/>
  <c r="C6" i="29"/>
  <c r="C35" i="29"/>
  <c r="C106" i="14"/>
  <c r="C9" i="14"/>
  <c r="C8" i="14"/>
  <c r="H312" i="20" l="1"/>
  <c r="F312" i="20"/>
  <c r="D312" i="20"/>
  <c r="J312" i="20"/>
  <c r="C29" i="14"/>
  <c r="C6" i="14" l="1"/>
  <c r="C3" i="14"/>
  <c r="C4" i="14"/>
  <c r="C5" i="14"/>
  <c r="C7" i="14"/>
  <c r="C36" i="14"/>
  <c r="C15" i="14"/>
  <c r="C14" i="14"/>
  <c r="C13" i="14"/>
  <c r="C12" i="14"/>
  <c r="C21" i="14"/>
  <c r="C20" i="14"/>
  <c r="C87" i="14"/>
  <c r="C89" i="14"/>
  <c r="C105" i="14" l="1"/>
  <c r="C31" i="14" l="1"/>
  <c r="C30" i="14"/>
  <c r="C28" i="14"/>
  <c r="C108" i="14"/>
  <c r="C35" i="14"/>
  <c r="C17" i="14" l="1"/>
  <c r="C19" i="14"/>
  <c r="E11" i="15"/>
  <c r="E71" i="28" l="1"/>
  <c r="E14" i="28"/>
  <c r="H33" i="27"/>
  <c r="F9" i="25"/>
  <c r="I9" i="25" s="1"/>
  <c r="F10" i="24" l="1"/>
  <c r="I10" i="24" s="1"/>
  <c r="F9" i="24"/>
  <c r="I9" i="24" s="1"/>
  <c r="O24" i="23"/>
  <c r="F37" i="23" l="1"/>
  <c r="G7" i="19"/>
  <c r="H21" i="16"/>
  <c r="H6" i="21" l="1"/>
  <c r="O10" i="24"/>
  <c r="E58" i="30"/>
  <c r="E59" i="30" s="1"/>
  <c r="S10" i="24" l="1"/>
  <c r="O9" i="25"/>
  <c r="S9" i="25" l="1"/>
  <c r="L5" i="30"/>
  <c r="H71" i="16" l="1"/>
  <c r="H38" i="16"/>
  <c r="H39" i="16"/>
  <c r="O40" i="23"/>
  <c r="S40" i="23" s="1"/>
  <c r="O22" i="23"/>
  <c r="S22" i="23" s="1"/>
  <c r="O32" i="23"/>
  <c r="S32" i="23" s="1"/>
  <c r="O31" i="23"/>
  <c r="S31" i="23" s="1"/>
  <c r="B51" i="15"/>
  <c r="K61" i="27" s="1"/>
  <c r="L61" i="27" s="1"/>
  <c r="B48" i="15"/>
  <c r="K58" i="27" s="1"/>
  <c r="L58" i="27" s="1"/>
  <c r="B54" i="15"/>
  <c r="K64" i="27" s="1"/>
  <c r="L64" i="27" s="1"/>
  <c r="B55" i="15"/>
  <c r="K65" i="27" s="1"/>
  <c r="L65" i="27" s="1"/>
  <c r="C59" i="15"/>
  <c r="M69" i="27" s="1"/>
  <c r="C57" i="15"/>
  <c r="M67" i="27" s="1"/>
  <c r="C53" i="15"/>
  <c r="M63" i="27" s="1"/>
  <c r="C50" i="15"/>
  <c r="M60" i="27" s="1"/>
  <c r="C30" i="15"/>
  <c r="M33" i="27" s="1"/>
  <c r="C27" i="15"/>
  <c r="M30" i="27" s="1"/>
  <c r="C25" i="15"/>
  <c r="M28" i="27" s="1"/>
  <c r="C19" i="15"/>
  <c r="M22" i="27" s="1"/>
  <c r="C15" i="15"/>
  <c r="C12" i="15"/>
  <c r="M15" i="27" s="1"/>
  <c r="D62" i="15"/>
  <c r="N72" i="27" s="1"/>
  <c r="D59" i="15"/>
  <c r="N69" i="27" s="1"/>
  <c r="D54" i="15"/>
  <c r="N64" i="27" s="1"/>
  <c r="D43" i="15"/>
  <c r="N53" i="27" s="1"/>
  <c r="D32" i="15"/>
  <c r="N35" i="27" s="1"/>
  <c r="D29" i="15"/>
  <c r="N32" i="27" s="1"/>
  <c r="D26" i="15"/>
  <c r="D25" i="15"/>
  <c r="N28" i="27" s="1"/>
  <c r="D10" i="15"/>
  <c r="N13" i="27" s="1"/>
  <c r="B14" i="15"/>
  <c r="K17" i="27" s="1"/>
  <c r="L17" i="27" s="1"/>
  <c r="B29" i="15"/>
  <c r="B28" i="15"/>
  <c r="K31" i="27" s="1"/>
  <c r="L31" i="27" s="1"/>
  <c r="B20" i="15"/>
  <c r="B62" i="15"/>
  <c r="B8" i="15"/>
  <c r="B15" i="15"/>
  <c r="K18" i="27" s="1"/>
  <c r="L18" i="27" s="1"/>
  <c r="D57" i="29"/>
  <c r="D58" i="29" s="1"/>
  <c r="D14" i="15"/>
  <c r="N17" i="27" s="1"/>
  <c r="D22" i="15"/>
  <c r="N25" i="27" s="1"/>
  <c r="D46" i="15"/>
  <c r="N56" i="27" s="1"/>
  <c r="C8" i="10"/>
  <c r="E3" i="8"/>
  <c r="E4" i="8"/>
  <c r="E5" i="8"/>
  <c r="E6" i="8"/>
  <c r="E7" i="8"/>
  <c r="E8" i="8"/>
  <c r="E9" i="8"/>
  <c r="E10" i="8"/>
  <c r="E2" i="8"/>
  <c r="D33" i="11"/>
  <c r="F6" i="11"/>
  <c r="F7" i="11"/>
  <c r="F8" i="11"/>
  <c r="F9" i="11"/>
  <c r="F10" i="11"/>
  <c r="F11" i="11"/>
  <c r="F12" i="11"/>
  <c r="F13" i="11"/>
  <c r="F14" i="11"/>
  <c r="F15" i="11"/>
  <c r="F16" i="11"/>
  <c r="F5" i="11"/>
  <c r="O35" i="23"/>
  <c r="S35" i="23" s="1"/>
  <c r="H32" i="16"/>
  <c r="O52" i="23"/>
  <c r="S52" i="23" s="1"/>
  <c r="O42" i="23"/>
  <c r="S42" i="23" s="1"/>
  <c r="D7" i="15"/>
  <c r="N10" i="27" s="1"/>
  <c r="D23" i="15"/>
  <c r="N26" i="27" s="1"/>
  <c r="B26" i="15"/>
  <c r="K29" i="27" s="1"/>
  <c r="L29" i="27" s="1"/>
  <c r="B44" i="15"/>
  <c r="K54" i="27" s="1"/>
  <c r="L54" i="27" s="1"/>
  <c r="C10" i="15"/>
  <c r="M13" i="27" s="1"/>
  <c r="D13" i="15"/>
  <c r="N16" i="27" s="1"/>
  <c r="D20" i="15"/>
  <c r="N23" i="27" s="1"/>
  <c r="B24" i="15"/>
  <c r="K27" i="27" s="1"/>
  <c r="L27" i="27" s="1"/>
  <c r="D30" i="15"/>
  <c r="N33" i="27" s="1"/>
  <c r="C43" i="15"/>
  <c r="M53" i="27" s="1"/>
  <c r="C44" i="15"/>
  <c r="M54" i="27" s="1"/>
  <c r="C47" i="15"/>
  <c r="M57" i="27" s="1"/>
  <c r="D50" i="15"/>
  <c r="N60" i="27" s="1"/>
  <c r="B56" i="15"/>
  <c r="B59" i="15"/>
  <c r="C60" i="15"/>
  <c r="M70" i="27" s="1"/>
  <c r="H74" i="28"/>
  <c r="F74" i="28"/>
  <c r="D74" i="28"/>
  <c r="H73" i="27"/>
  <c r="H74" i="27"/>
  <c r="D54" i="27"/>
  <c r="D32" i="27"/>
  <c r="B10" i="25"/>
  <c r="F66" i="15"/>
  <c r="C49" i="15"/>
  <c r="M59" i="27" s="1"/>
  <c r="C24" i="15"/>
  <c r="M27" i="27" s="1"/>
  <c r="D47" i="15"/>
  <c r="N57" i="27" s="1"/>
  <c r="B58" i="15"/>
  <c r="O11" i="23"/>
  <c r="S11" i="23" s="1"/>
  <c r="F65" i="9"/>
  <c r="E65" i="9"/>
  <c r="D65" i="9"/>
  <c r="C65" i="9"/>
  <c r="M24" i="9"/>
  <c r="L24" i="9"/>
  <c r="M19" i="9"/>
  <c r="L19" i="9"/>
  <c r="D11" i="8"/>
  <c r="C11" i="8"/>
  <c r="B11" i="8"/>
  <c r="D26" i="11"/>
  <c r="D17" i="11"/>
  <c r="E17" i="11"/>
  <c r="C17" i="11"/>
  <c r="H54" i="27"/>
  <c r="D73" i="27"/>
  <c r="G6" i="19"/>
  <c r="O9" i="24" s="1"/>
  <c r="S9" i="24" s="1"/>
  <c r="G5" i="19"/>
  <c r="O8" i="24" s="1"/>
  <c r="S8" i="24" s="1"/>
  <c r="G4" i="19"/>
  <c r="O7" i="24" s="1"/>
  <c r="S7" i="24" s="1"/>
  <c r="D64" i="15"/>
  <c r="N74" i="27" s="1"/>
  <c r="D44" i="15"/>
  <c r="N54" i="27" s="1"/>
  <c r="C45" i="15"/>
  <c r="M55" i="27" s="1"/>
  <c r="D45" i="15"/>
  <c r="N55" i="27" s="1"/>
  <c r="C46" i="15"/>
  <c r="M56" i="27" s="1"/>
  <c r="C48" i="15"/>
  <c r="M58" i="27" s="1"/>
  <c r="D48" i="15"/>
  <c r="N58" i="27" s="1"/>
  <c r="D49" i="15"/>
  <c r="N59" i="27" s="1"/>
  <c r="C51" i="15"/>
  <c r="M61" i="27" s="1"/>
  <c r="C52" i="15"/>
  <c r="M62" i="27" s="1"/>
  <c r="D52" i="15"/>
  <c r="N62" i="27" s="1"/>
  <c r="D53" i="15"/>
  <c r="N63" i="27" s="1"/>
  <c r="C55" i="15"/>
  <c r="M65" i="27" s="1"/>
  <c r="C56" i="15"/>
  <c r="M66" i="27" s="1"/>
  <c r="D56" i="15"/>
  <c r="N66" i="27" s="1"/>
  <c r="D57" i="15"/>
  <c r="N67" i="27" s="1"/>
  <c r="C58" i="15"/>
  <c r="M68" i="27" s="1"/>
  <c r="D60" i="15"/>
  <c r="N70" i="27" s="1"/>
  <c r="C61" i="15"/>
  <c r="M71" i="27" s="1"/>
  <c r="D61" i="15"/>
  <c r="N71" i="27" s="1"/>
  <c r="D15" i="15"/>
  <c r="N18" i="27" s="1"/>
  <c r="D17" i="15"/>
  <c r="N20" i="27" s="1"/>
  <c r="D18" i="15"/>
  <c r="N21" i="27" s="1"/>
  <c r="D19" i="15"/>
  <c r="N22" i="27" s="1"/>
  <c r="D21" i="15"/>
  <c r="N24" i="27" s="1"/>
  <c r="D28" i="15"/>
  <c r="N31" i="27" s="1"/>
  <c r="D31" i="15"/>
  <c r="N34" i="27" s="1"/>
  <c r="D11" i="15"/>
  <c r="N14" i="27" s="1"/>
  <c r="D8" i="15"/>
  <c r="N11" i="27" s="1"/>
  <c r="D6" i="15"/>
  <c r="N9" i="27" s="1"/>
  <c r="B11" i="15"/>
  <c r="K14" i="27" s="1"/>
  <c r="L14" i="27" s="1"/>
  <c r="B64" i="15"/>
  <c r="K74" i="27" s="1"/>
  <c r="L74" i="27" s="1"/>
  <c r="B49" i="15"/>
  <c r="K59" i="27" s="1"/>
  <c r="L59" i="27" s="1"/>
  <c r="B31" i="15"/>
  <c r="K34" i="27" s="1"/>
  <c r="L34" i="27" s="1"/>
  <c r="B16" i="15"/>
  <c r="K19" i="27" s="1"/>
  <c r="L19" i="27" s="1"/>
  <c r="B13" i="15"/>
  <c r="K16" i="27" s="1"/>
  <c r="L16" i="27" s="1"/>
  <c r="L12" i="30"/>
  <c r="C8" i="17" s="1"/>
  <c r="D22" i="18" s="1"/>
  <c r="D23" i="18" s="1"/>
  <c r="D12" i="16" s="1"/>
  <c r="L35" i="30"/>
  <c r="C63" i="15"/>
  <c r="M73" i="27" s="1"/>
  <c r="E53" i="28"/>
  <c r="J53" i="28" s="1"/>
  <c r="E54" i="28"/>
  <c r="J54" i="28" s="1"/>
  <c r="E55" i="28"/>
  <c r="J55" i="28" s="1"/>
  <c r="E56" i="28"/>
  <c r="J56" i="28" s="1"/>
  <c r="E57" i="28"/>
  <c r="J57" i="28" s="1"/>
  <c r="J58" i="28"/>
  <c r="E59" i="28"/>
  <c r="J59" i="28" s="1"/>
  <c r="E60" i="28"/>
  <c r="J60" i="28" s="1"/>
  <c r="E61" i="28"/>
  <c r="J61" i="28" s="1"/>
  <c r="E62" i="28"/>
  <c r="J62" i="28" s="1"/>
  <c r="E63" i="28"/>
  <c r="J63" i="28" s="1"/>
  <c r="E64" i="28"/>
  <c r="J64" i="28" s="1"/>
  <c r="E65" i="28"/>
  <c r="J65" i="28" s="1"/>
  <c r="E66" i="28"/>
  <c r="J66" i="28" s="1"/>
  <c r="E67" i="28"/>
  <c r="J67" i="28" s="1"/>
  <c r="E68" i="28"/>
  <c r="J68" i="28" s="1"/>
  <c r="E69" i="28"/>
  <c r="J69" i="28" s="1"/>
  <c r="E70" i="28"/>
  <c r="J70" i="28" s="1"/>
  <c r="J71" i="28"/>
  <c r="E72" i="28"/>
  <c r="J72" i="28" s="1"/>
  <c r="E73" i="28"/>
  <c r="J73" i="28" s="1"/>
  <c r="E52" i="28"/>
  <c r="J52" i="28" s="1"/>
  <c r="E10" i="28"/>
  <c r="J10" i="28" s="1"/>
  <c r="E11" i="28"/>
  <c r="J11" i="28" s="1"/>
  <c r="E12" i="28"/>
  <c r="J12" i="28" s="1"/>
  <c r="E13" i="28"/>
  <c r="J13" i="28" s="1"/>
  <c r="J14" i="28"/>
  <c r="E15" i="28"/>
  <c r="J15" i="28" s="1"/>
  <c r="E16" i="28"/>
  <c r="J16" i="28" s="1"/>
  <c r="E17" i="28"/>
  <c r="J17" i="28" s="1"/>
  <c r="E18" i="28"/>
  <c r="J18" i="28" s="1"/>
  <c r="E19" i="28"/>
  <c r="J19" i="28" s="1"/>
  <c r="E20" i="28"/>
  <c r="J20" i="28" s="1"/>
  <c r="E21" i="28"/>
  <c r="J21" i="28" s="1"/>
  <c r="E22" i="28"/>
  <c r="J22" i="28" s="1"/>
  <c r="E23" i="28"/>
  <c r="J23" i="28" s="1"/>
  <c r="E24" i="28"/>
  <c r="J24" i="28" s="1"/>
  <c r="E25" i="28"/>
  <c r="J25" i="28" s="1"/>
  <c r="E26" i="28"/>
  <c r="J26" i="28" s="1"/>
  <c r="E27" i="28"/>
  <c r="J27" i="28" s="1"/>
  <c r="E28" i="28"/>
  <c r="J28" i="28" s="1"/>
  <c r="E29" i="28"/>
  <c r="J29" i="28" s="1"/>
  <c r="E30" i="28"/>
  <c r="J30" i="28" s="1"/>
  <c r="E31" i="28"/>
  <c r="J31" i="28" s="1"/>
  <c r="E32" i="28"/>
  <c r="J32" i="28" s="1"/>
  <c r="E33" i="28"/>
  <c r="J33" i="28" s="1"/>
  <c r="E34" i="28"/>
  <c r="J34" i="28" s="1"/>
  <c r="E35" i="28"/>
  <c r="J35" i="28" s="1"/>
  <c r="E9" i="28"/>
  <c r="D11" i="27"/>
  <c r="A164" i="20"/>
  <c r="A254" i="20" s="1"/>
  <c r="A165" i="20"/>
  <c r="A255" i="20" s="1"/>
  <c r="H76" i="16"/>
  <c r="O79" i="23"/>
  <c r="S79" i="23" s="1"/>
  <c r="F79" i="23"/>
  <c r="I79" i="23" s="1"/>
  <c r="H58" i="16"/>
  <c r="H26" i="16"/>
  <c r="I3" i="14"/>
  <c r="L3" i="14" s="1"/>
  <c r="B286" i="20"/>
  <c r="J286" i="20" s="1"/>
  <c r="A289" i="20"/>
  <c r="A290" i="20"/>
  <c r="A291" i="20"/>
  <c r="A292" i="20"/>
  <c r="A293" i="20"/>
  <c r="A296" i="20"/>
  <c r="A297" i="20"/>
  <c r="A298" i="20"/>
  <c r="A299" i="20"/>
  <c r="A300" i="20"/>
  <c r="J313" i="20"/>
  <c r="H313" i="20"/>
  <c r="F313" i="20"/>
  <c r="D313" i="20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4" i="27"/>
  <c r="H35" i="27"/>
  <c r="F51" i="23"/>
  <c r="I51" i="23" s="1"/>
  <c r="F52" i="23"/>
  <c r="I52" i="23" s="1"/>
  <c r="F53" i="23"/>
  <c r="I53" i="23" s="1"/>
  <c r="F54" i="23"/>
  <c r="I54" i="23" s="1"/>
  <c r="F55" i="23"/>
  <c r="I55" i="23" s="1"/>
  <c r="F56" i="23"/>
  <c r="I56" i="23" s="1"/>
  <c r="F57" i="23"/>
  <c r="I57" i="23" s="1"/>
  <c r="F58" i="23"/>
  <c r="I58" i="23" s="1"/>
  <c r="F59" i="23"/>
  <c r="I59" i="23" s="1"/>
  <c r="F60" i="23"/>
  <c r="I60" i="23" s="1"/>
  <c r="F61" i="23"/>
  <c r="I61" i="23" s="1"/>
  <c r="F62" i="23"/>
  <c r="I62" i="23" s="1"/>
  <c r="F64" i="23"/>
  <c r="I64" i="23" s="1"/>
  <c r="F65" i="23"/>
  <c r="I65" i="23" s="1"/>
  <c r="F66" i="23"/>
  <c r="I66" i="23" s="1"/>
  <c r="F67" i="23"/>
  <c r="I67" i="23" s="1"/>
  <c r="F68" i="23"/>
  <c r="I68" i="23" s="1"/>
  <c r="F69" i="23"/>
  <c r="I69" i="23" s="1"/>
  <c r="F70" i="23"/>
  <c r="I70" i="23" s="1"/>
  <c r="F71" i="23"/>
  <c r="I71" i="23" s="1"/>
  <c r="F72" i="23"/>
  <c r="I72" i="23" s="1"/>
  <c r="F73" i="23"/>
  <c r="I73" i="23" s="1"/>
  <c r="F74" i="23"/>
  <c r="I74" i="23" s="1"/>
  <c r="F75" i="23"/>
  <c r="I75" i="23" s="1"/>
  <c r="F76" i="23"/>
  <c r="I76" i="23" s="1"/>
  <c r="F77" i="23"/>
  <c r="I77" i="23" s="1"/>
  <c r="F78" i="23"/>
  <c r="I78" i="23" s="1"/>
  <c r="F80" i="23"/>
  <c r="I80" i="23" s="1"/>
  <c r="F23" i="23"/>
  <c r="I23" i="23" s="1"/>
  <c r="F24" i="23"/>
  <c r="I24" i="23" s="1"/>
  <c r="F25" i="23"/>
  <c r="I25" i="23" s="1"/>
  <c r="F26" i="23"/>
  <c r="I26" i="23" s="1"/>
  <c r="F27" i="23"/>
  <c r="I27" i="23" s="1"/>
  <c r="F28" i="23"/>
  <c r="I28" i="23" s="1"/>
  <c r="F29" i="23"/>
  <c r="I29" i="23" s="1"/>
  <c r="F30" i="23"/>
  <c r="I30" i="23" s="1"/>
  <c r="F31" i="23"/>
  <c r="I31" i="23" s="1"/>
  <c r="F32" i="23"/>
  <c r="I32" i="23" s="1"/>
  <c r="F33" i="23"/>
  <c r="I33" i="23" s="1"/>
  <c r="F34" i="23"/>
  <c r="I34" i="23" s="1"/>
  <c r="F35" i="23"/>
  <c r="I35" i="23" s="1"/>
  <c r="F36" i="23"/>
  <c r="I36" i="23" s="1"/>
  <c r="I37" i="23"/>
  <c r="F38" i="23"/>
  <c r="I38" i="23" s="1"/>
  <c r="F39" i="23"/>
  <c r="I39" i="23" s="1"/>
  <c r="F40" i="23"/>
  <c r="I40" i="23" s="1"/>
  <c r="F41" i="23"/>
  <c r="I41" i="23" s="1"/>
  <c r="F42" i="23"/>
  <c r="I42" i="23" s="1"/>
  <c r="F43" i="23"/>
  <c r="I43" i="23" s="1"/>
  <c r="F44" i="23"/>
  <c r="I44" i="23" s="1"/>
  <c r="F45" i="23"/>
  <c r="I45" i="23" s="1"/>
  <c r="F17" i="23"/>
  <c r="I17" i="23" s="1"/>
  <c r="F18" i="23"/>
  <c r="I18" i="23" s="1"/>
  <c r="F19" i="23"/>
  <c r="I19" i="23" s="1"/>
  <c r="F20" i="23"/>
  <c r="I20" i="23" s="1"/>
  <c r="I9" i="23"/>
  <c r="I10" i="23"/>
  <c r="I11" i="23"/>
  <c r="I12" i="23"/>
  <c r="I13" i="23"/>
  <c r="F14" i="23"/>
  <c r="I14" i="23" s="1"/>
  <c r="O29" i="23"/>
  <c r="S29" i="23" s="1"/>
  <c r="L56" i="29"/>
  <c r="L32" i="29"/>
  <c r="C31" i="15"/>
  <c r="M34" i="27" s="1"/>
  <c r="C21" i="15"/>
  <c r="M24" i="27" s="1"/>
  <c r="C14" i="15"/>
  <c r="M17" i="27" s="1"/>
  <c r="A10" i="14"/>
  <c r="B10" i="14"/>
  <c r="C11" i="15"/>
  <c r="M14" i="27" s="1"/>
  <c r="L11" i="15"/>
  <c r="Q14" i="28" s="1"/>
  <c r="F8" i="25"/>
  <c r="I8" i="25" s="1"/>
  <c r="D81" i="23"/>
  <c r="F8" i="24"/>
  <c r="N21" i="23"/>
  <c r="N49" i="23"/>
  <c r="O51" i="23"/>
  <c r="S51" i="23" s="1"/>
  <c r="O53" i="23"/>
  <c r="S53" i="23" s="1"/>
  <c r="O54" i="23"/>
  <c r="S54" i="23" s="1"/>
  <c r="O55" i="23"/>
  <c r="S55" i="23" s="1"/>
  <c r="O56" i="23"/>
  <c r="S56" i="23" s="1"/>
  <c r="O57" i="23"/>
  <c r="S57" i="23" s="1"/>
  <c r="O58" i="23"/>
  <c r="S58" i="23" s="1"/>
  <c r="O59" i="23"/>
  <c r="S59" i="23" s="1"/>
  <c r="O60" i="23"/>
  <c r="S60" i="23" s="1"/>
  <c r="O62" i="23"/>
  <c r="S62" i="23" s="1"/>
  <c r="O64" i="23"/>
  <c r="S64" i="23" s="1"/>
  <c r="O65" i="23"/>
  <c r="S65" i="23" s="1"/>
  <c r="O66" i="23"/>
  <c r="S66" i="23" s="1"/>
  <c r="O67" i="23"/>
  <c r="S67" i="23" s="1"/>
  <c r="O68" i="23"/>
  <c r="S68" i="23" s="1"/>
  <c r="O69" i="23"/>
  <c r="S69" i="23" s="1"/>
  <c r="O70" i="23"/>
  <c r="S70" i="23" s="1"/>
  <c r="O71" i="23"/>
  <c r="S71" i="23" s="1"/>
  <c r="O72" i="23"/>
  <c r="S72" i="23" s="1"/>
  <c r="O73" i="23"/>
  <c r="S73" i="23" s="1"/>
  <c r="O75" i="23"/>
  <c r="S75" i="23" s="1"/>
  <c r="O76" i="23"/>
  <c r="S76" i="23" s="1"/>
  <c r="O77" i="23"/>
  <c r="S77" i="23" s="1"/>
  <c r="O78" i="23"/>
  <c r="S78" i="23" s="1"/>
  <c r="O80" i="23"/>
  <c r="S80" i="23" s="1"/>
  <c r="O50" i="23"/>
  <c r="S50" i="23" s="1"/>
  <c r="O43" i="23"/>
  <c r="S43" i="23" s="1"/>
  <c r="O44" i="23"/>
  <c r="S44" i="23" s="1"/>
  <c r="S45" i="23"/>
  <c r="O23" i="23"/>
  <c r="S23" i="23" s="1"/>
  <c r="S24" i="23"/>
  <c r="O25" i="23"/>
  <c r="S25" i="23" s="1"/>
  <c r="O26" i="23"/>
  <c r="S26" i="23" s="1"/>
  <c r="O27" i="23"/>
  <c r="S27" i="23" s="1"/>
  <c r="O28" i="23"/>
  <c r="S28" i="23" s="1"/>
  <c r="O30" i="23"/>
  <c r="S30" i="23" s="1"/>
  <c r="O33" i="23"/>
  <c r="S33" i="23" s="1"/>
  <c r="O34" i="23"/>
  <c r="S34" i="23" s="1"/>
  <c r="O36" i="23"/>
  <c r="S36" i="23" s="1"/>
  <c r="O37" i="23"/>
  <c r="O38" i="23"/>
  <c r="O39" i="23"/>
  <c r="S39" i="23" s="1"/>
  <c r="O41" i="23"/>
  <c r="S41" i="23" s="1"/>
  <c r="O12" i="23"/>
  <c r="S12" i="23" s="1"/>
  <c r="O13" i="23"/>
  <c r="S13" i="23" s="1"/>
  <c r="O14" i="23"/>
  <c r="S14" i="23" s="1"/>
  <c r="O15" i="23"/>
  <c r="O16" i="23"/>
  <c r="S16" i="23" s="1"/>
  <c r="O17" i="23"/>
  <c r="S17" i="23" s="1"/>
  <c r="O18" i="23"/>
  <c r="S18" i="23" s="1"/>
  <c r="O19" i="23"/>
  <c r="S19" i="23" s="1"/>
  <c r="O20" i="23"/>
  <c r="S20" i="23" s="1"/>
  <c r="O9" i="23"/>
  <c r="S9" i="23" s="1"/>
  <c r="O10" i="23"/>
  <c r="S10" i="23" s="1"/>
  <c r="O8" i="23"/>
  <c r="S8" i="23" s="1"/>
  <c r="J223" i="20"/>
  <c r="H223" i="20"/>
  <c r="F223" i="20"/>
  <c r="D223" i="20"/>
  <c r="J196" i="20"/>
  <c r="H196" i="20"/>
  <c r="F196" i="20"/>
  <c r="D196" i="20"/>
  <c r="J133" i="20"/>
  <c r="J106" i="20"/>
  <c r="H133" i="20"/>
  <c r="H106" i="20"/>
  <c r="F133" i="20"/>
  <c r="D133" i="20"/>
  <c r="D106" i="20"/>
  <c r="J44" i="20"/>
  <c r="H44" i="20"/>
  <c r="F44" i="20"/>
  <c r="D44" i="20"/>
  <c r="D17" i="20"/>
  <c r="H48" i="16"/>
  <c r="H50" i="16"/>
  <c r="H51" i="16"/>
  <c r="H52" i="16"/>
  <c r="H53" i="16"/>
  <c r="H54" i="16"/>
  <c r="H55" i="16"/>
  <c r="H56" i="16"/>
  <c r="H57" i="16"/>
  <c r="H59" i="16"/>
  <c r="H61" i="16"/>
  <c r="H62" i="16"/>
  <c r="H63" i="16"/>
  <c r="H64" i="16"/>
  <c r="H65" i="16"/>
  <c r="H66" i="16"/>
  <c r="H67" i="16"/>
  <c r="H68" i="16"/>
  <c r="H69" i="16"/>
  <c r="H70" i="16"/>
  <c r="H72" i="16"/>
  <c r="H73" i="16"/>
  <c r="H74" i="16"/>
  <c r="H75" i="16"/>
  <c r="H77" i="16"/>
  <c r="H13" i="16"/>
  <c r="H14" i="16"/>
  <c r="H15" i="16"/>
  <c r="H16" i="16"/>
  <c r="H17" i="16"/>
  <c r="H20" i="16"/>
  <c r="H22" i="16"/>
  <c r="H23" i="16"/>
  <c r="H24" i="16"/>
  <c r="H25" i="16"/>
  <c r="H27" i="16"/>
  <c r="H30" i="16"/>
  <c r="H31" i="16"/>
  <c r="H33" i="16"/>
  <c r="H34" i="16"/>
  <c r="H35" i="16"/>
  <c r="H36" i="16"/>
  <c r="H37" i="16"/>
  <c r="H40" i="16"/>
  <c r="H41" i="16"/>
  <c r="H6" i="16"/>
  <c r="H7" i="16"/>
  <c r="H9" i="16"/>
  <c r="H10" i="16"/>
  <c r="H11" i="16"/>
  <c r="H47" i="16"/>
  <c r="H5" i="16"/>
  <c r="C62" i="15"/>
  <c r="M72" i="27" s="1"/>
  <c r="C64" i="15"/>
  <c r="C7" i="15"/>
  <c r="M10" i="27" s="1"/>
  <c r="C8" i="15"/>
  <c r="M11" i="27" s="1"/>
  <c r="C9" i="15"/>
  <c r="M12" i="27" s="1"/>
  <c r="C20" i="15"/>
  <c r="M23" i="27" s="1"/>
  <c r="C22" i="15"/>
  <c r="M25" i="27" s="1"/>
  <c r="C26" i="15"/>
  <c r="M29" i="27" s="1"/>
  <c r="C32" i="15"/>
  <c r="M35" i="27" s="1"/>
  <c r="C6" i="15"/>
  <c r="B6" i="15"/>
  <c r="K9" i="27" s="1"/>
  <c r="L9" i="27" s="1"/>
  <c r="K4" i="29"/>
  <c r="I74" i="28"/>
  <c r="G74" i="28"/>
  <c r="C74" i="28"/>
  <c r="B74" i="28"/>
  <c r="G75" i="27"/>
  <c r="F75" i="27"/>
  <c r="E75" i="27"/>
  <c r="C75" i="27"/>
  <c r="D74" i="27"/>
  <c r="H72" i="27"/>
  <c r="D72" i="27"/>
  <c r="H71" i="27"/>
  <c r="D71" i="27"/>
  <c r="H70" i="27"/>
  <c r="D70" i="27"/>
  <c r="H69" i="27"/>
  <c r="D69" i="27"/>
  <c r="H68" i="27"/>
  <c r="D68" i="27"/>
  <c r="H67" i="27"/>
  <c r="D67" i="27"/>
  <c r="H66" i="27"/>
  <c r="D66" i="27"/>
  <c r="H65" i="27"/>
  <c r="D65" i="27"/>
  <c r="H64" i="27"/>
  <c r="D64" i="27"/>
  <c r="H63" i="27"/>
  <c r="D63" i="27"/>
  <c r="H62" i="27"/>
  <c r="D62" i="27"/>
  <c r="H61" i="27"/>
  <c r="D61" i="27"/>
  <c r="H60" i="27"/>
  <c r="D60" i="27"/>
  <c r="H59" i="27"/>
  <c r="D59" i="27"/>
  <c r="H58" i="27"/>
  <c r="D58" i="27"/>
  <c r="H57" i="27"/>
  <c r="D57" i="27"/>
  <c r="H56" i="27"/>
  <c r="D56" i="27"/>
  <c r="H55" i="27"/>
  <c r="D55" i="27"/>
  <c r="G38" i="27"/>
  <c r="D35" i="27"/>
  <c r="D34" i="27"/>
  <c r="D33" i="27"/>
  <c r="D31" i="27"/>
  <c r="D30" i="27"/>
  <c r="D29" i="27"/>
  <c r="D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0" i="27"/>
  <c r="H9" i="27"/>
  <c r="D9" i="27"/>
  <c r="E13" i="26"/>
  <c r="D13" i="26"/>
  <c r="E14" i="26" s="1"/>
  <c r="C13" i="26"/>
  <c r="B13" i="26"/>
  <c r="F11" i="26"/>
  <c r="I11" i="26" s="1"/>
  <c r="F7" i="26"/>
  <c r="I7" i="26" s="1"/>
  <c r="P10" i="25"/>
  <c r="H10" i="25"/>
  <c r="E10" i="25"/>
  <c r="D10" i="25"/>
  <c r="C10" i="25"/>
  <c r="P11" i="24"/>
  <c r="H11" i="24"/>
  <c r="E11" i="24"/>
  <c r="C11" i="24"/>
  <c r="B11" i="24"/>
  <c r="F22" i="23"/>
  <c r="I22" i="23" s="1"/>
  <c r="F16" i="23"/>
  <c r="I16" i="23" s="1"/>
  <c r="M15" i="23"/>
  <c r="F15" i="23"/>
  <c r="I8" i="23"/>
  <c r="F8" i="22"/>
  <c r="F7" i="22"/>
  <c r="F6" i="22"/>
  <c r="A133" i="20"/>
  <c r="A223" i="20" s="1"/>
  <c r="A313" i="20" s="1"/>
  <c r="A101" i="20"/>
  <c r="A191" i="20" s="1"/>
  <c r="A281" i="20" s="1"/>
  <c r="A163" i="20"/>
  <c r="A253" i="20" s="1"/>
  <c r="A343" i="20" s="1"/>
  <c r="A162" i="20"/>
  <c r="A252" i="20" s="1"/>
  <c r="A342" i="20" s="1"/>
  <c r="A161" i="20"/>
  <c r="A251" i="20" s="1"/>
  <c r="A341" i="20" s="1"/>
  <c r="A160" i="20"/>
  <c r="A250" i="20" s="1"/>
  <c r="A340" i="20" s="1"/>
  <c r="A70" i="20"/>
  <c r="A159" i="20" s="1"/>
  <c r="A249" i="20" s="1"/>
  <c r="A339" i="20" s="1"/>
  <c r="A158" i="20"/>
  <c r="A248" i="20" s="1"/>
  <c r="A338" i="20" s="1"/>
  <c r="A157" i="20"/>
  <c r="A247" i="20" s="1"/>
  <c r="A337" i="20" s="1"/>
  <c r="A156" i="20"/>
  <c r="A246" i="20" s="1"/>
  <c r="A336" i="20" s="1"/>
  <c r="A66" i="20"/>
  <c r="A155" i="20" s="1"/>
  <c r="A245" i="20" s="1"/>
  <c r="A335" i="20" s="1"/>
  <c r="A65" i="20"/>
  <c r="A154" i="20" s="1"/>
  <c r="A244" i="20" s="1"/>
  <c r="A334" i="20" s="1"/>
  <c r="A64" i="20"/>
  <c r="A152" i="20" s="1"/>
  <c r="A242" i="20" s="1"/>
  <c r="A332" i="20" s="1"/>
  <c r="A62" i="20"/>
  <c r="A151" i="20" s="1"/>
  <c r="A241" i="20" s="1"/>
  <c r="A331" i="20" s="1"/>
  <c r="A61" i="20"/>
  <c r="A150" i="20" s="1"/>
  <c r="A240" i="20" s="1"/>
  <c r="A330" i="20" s="1"/>
  <c r="A60" i="20"/>
  <c r="A149" i="20" s="1"/>
  <c r="A239" i="20" s="1"/>
  <c r="A329" i="20" s="1"/>
  <c r="A59" i="20"/>
  <c r="A148" i="20" s="1"/>
  <c r="A238" i="20" s="1"/>
  <c r="A328" i="20" s="1"/>
  <c r="A57" i="20"/>
  <c r="A146" i="20" s="1"/>
  <c r="A236" i="20" s="1"/>
  <c r="A326" i="20" s="1"/>
  <c r="A56" i="20"/>
  <c r="A145" i="20" s="1"/>
  <c r="A235" i="20" s="1"/>
  <c r="A325" i="20" s="1"/>
  <c r="A55" i="20"/>
  <c r="A144" i="20" s="1"/>
  <c r="A234" i="20" s="1"/>
  <c r="A324" i="20" s="1"/>
  <c r="A54" i="20"/>
  <c r="A143" i="20" s="1"/>
  <c r="A233" i="20" s="1"/>
  <c r="A323" i="20" s="1"/>
  <c r="A53" i="20"/>
  <c r="A142" i="20" s="1"/>
  <c r="A232" i="20" s="1"/>
  <c r="A322" i="20" s="1"/>
  <c r="A52" i="20"/>
  <c r="A141" i="20" s="1"/>
  <c r="A231" i="20" s="1"/>
  <c r="A321" i="20" s="1"/>
  <c r="A51" i="20"/>
  <c r="A140" i="20" s="1"/>
  <c r="A230" i="20" s="1"/>
  <c r="A320" i="20" s="1"/>
  <c r="A50" i="20"/>
  <c r="A139" i="20" s="1"/>
  <c r="A229" i="20" s="1"/>
  <c r="A319" i="20" s="1"/>
  <c r="A49" i="20"/>
  <c r="A138" i="20" s="1"/>
  <c r="A228" i="20" s="1"/>
  <c r="A318" i="20" s="1"/>
  <c r="A48" i="20"/>
  <c r="A137" i="20" s="1"/>
  <c r="A227" i="20" s="1"/>
  <c r="A317" i="20" s="1"/>
  <c r="A47" i="20"/>
  <c r="A136" i="20" s="1"/>
  <c r="A226" i="20" s="1"/>
  <c r="A316" i="20" s="1"/>
  <c r="A46" i="20"/>
  <c r="A135" i="20" s="1"/>
  <c r="A225" i="20" s="1"/>
  <c r="A315" i="20" s="1"/>
  <c r="A45" i="20"/>
  <c r="A134" i="20" s="1"/>
  <c r="A224" i="20" s="1"/>
  <c r="A314" i="20" s="1"/>
  <c r="A19" i="20"/>
  <c r="A108" i="20" s="1"/>
  <c r="A198" i="20" s="1"/>
  <c r="A288" i="20" s="1"/>
  <c r="A18" i="20"/>
  <c r="A107" i="20" s="1"/>
  <c r="A197" i="20" s="1"/>
  <c r="A287" i="20" s="1"/>
  <c r="A17" i="20"/>
  <c r="A106" i="20" s="1"/>
  <c r="A196" i="20" s="1"/>
  <c r="A286" i="20" s="1"/>
  <c r="A16" i="20"/>
  <c r="A105" i="20" s="1"/>
  <c r="A195" i="20" s="1"/>
  <c r="A285" i="20" s="1"/>
  <c r="A15" i="20"/>
  <c r="A104" i="20" s="1"/>
  <c r="A194" i="20" s="1"/>
  <c r="A284" i="20" s="1"/>
  <c r="A14" i="20"/>
  <c r="A103" i="20" s="1"/>
  <c r="A193" i="20" s="1"/>
  <c r="A283" i="20" s="1"/>
  <c r="A13" i="20"/>
  <c r="A102" i="20" s="1"/>
  <c r="A192" i="20" s="1"/>
  <c r="A282" i="20" s="1"/>
  <c r="A11" i="20"/>
  <c r="A100" i="20" s="1"/>
  <c r="A190" i="20" s="1"/>
  <c r="A280" i="20" s="1"/>
  <c r="A10" i="20"/>
  <c r="A99" i="20" s="1"/>
  <c r="A189" i="20" s="1"/>
  <c r="A279" i="20" s="1"/>
  <c r="A9" i="20"/>
  <c r="A98" i="20" s="1"/>
  <c r="A188" i="20" s="1"/>
  <c r="A278" i="20" s="1"/>
  <c r="A8" i="20"/>
  <c r="A97" i="20" s="1"/>
  <c r="A187" i="20" s="1"/>
  <c r="A277" i="20" s="1"/>
  <c r="A7" i="20"/>
  <c r="A96" i="20" s="1"/>
  <c r="A186" i="20" s="1"/>
  <c r="A276" i="20" s="1"/>
  <c r="A6" i="20"/>
  <c r="A95" i="20" s="1"/>
  <c r="A185" i="20" s="1"/>
  <c r="A275" i="20" s="1"/>
  <c r="A5" i="20"/>
  <c r="A94" i="20" s="1"/>
  <c r="A184" i="20" s="1"/>
  <c r="A274" i="20" s="1"/>
  <c r="A4" i="20"/>
  <c r="A93" i="20" s="1"/>
  <c r="A183" i="20" s="1"/>
  <c r="A273" i="20" s="1"/>
  <c r="F23" i="18"/>
  <c r="F12" i="16" s="1"/>
  <c r="B280" i="20" s="1"/>
  <c r="H280" i="20" s="1"/>
  <c r="A71" i="16"/>
  <c r="A68" i="16"/>
  <c r="B67" i="16"/>
  <c r="B66" i="16"/>
  <c r="B65" i="16"/>
  <c r="A65" i="16"/>
  <c r="B64" i="16"/>
  <c r="A64" i="16"/>
  <c r="B63" i="16"/>
  <c r="B62" i="16"/>
  <c r="B61" i="16"/>
  <c r="B59" i="16"/>
  <c r="B58" i="16"/>
  <c r="B57" i="16"/>
  <c r="B56" i="16"/>
  <c r="B55" i="16"/>
  <c r="B54" i="16"/>
  <c r="B53" i="16"/>
  <c r="A53" i="16"/>
  <c r="B52" i="16"/>
  <c r="B51" i="16"/>
  <c r="A51" i="16"/>
  <c r="B50" i="16"/>
  <c r="B49" i="16"/>
  <c r="A49" i="16"/>
  <c r="B48" i="16"/>
  <c r="A48" i="16"/>
  <c r="B47" i="16"/>
  <c r="A47" i="16"/>
  <c r="G46" i="16"/>
  <c r="A46" i="16"/>
  <c r="G45" i="16"/>
  <c r="B19" i="16"/>
  <c r="B18" i="16"/>
  <c r="B17" i="16"/>
  <c r="B16" i="16"/>
  <c r="B15" i="16"/>
  <c r="B13" i="16"/>
  <c r="A13" i="16"/>
  <c r="B12" i="16"/>
  <c r="B11" i="16"/>
  <c r="B10" i="16"/>
  <c r="B9" i="16"/>
  <c r="B8" i="16"/>
  <c r="A8" i="16"/>
  <c r="B7" i="16"/>
  <c r="A7" i="16"/>
  <c r="B6" i="16"/>
  <c r="A6" i="16"/>
  <c r="A105" i="14"/>
  <c r="A102" i="14"/>
  <c r="B101" i="14"/>
  <c r="B100" i="14"/>
  <c r="B99" i="14"/>
  <c r="A99" i="14"/>
  <c r="B98" i="14"/>
  <c r="A98" i="14"/>
  <c r="B97" i="14"/>
  <c r="B96" i="14"/>
  <c r="B95" i="14"/>
  <c r="B93" i="14"/>
  <c r="B92" i="14"/>
  <c r="B91" i="14"/>
  <c r="B90" i="14"/>
  <c r="B89" i="14"/>
  <c r="B88" i="14"/>
  <c r="B87" i="14"/>
  <c r="A87" i="14"/>
  <c r="B86" i="14"/>
  <c r="B85" i="14"/>
  <c r="A85" i="14"/>
  <c r="B84" i="14"/>
  <c r="B83" i="14"/>
  <c r="A83" i="14"/>
  <c r="B82" i="14"/>
  <c r="A82" i="14"/>
  <c r="B81" i="14"/>
  <c r="A81" i="14"/>
  <c r="B17" i="14"/>
  <c r="A17" i="14"/>
  <c r="B16" i="14"/>
  <c r="B15" i="14"/>
  <c r="B14" i="14"/>
  <c r="B13" i="14"/>
  <c r="B12" i="14"/>
  <c r="A11" i="14"/>
  <c r="B9" i="14"/>
  <c r="B8" i="14"/>
  <c r="A8" i="14"/>
  <c r="B7" i="14"/>
  <c r="B6" i="14"/>
  <c r="A6" i="14"/>
  <c r="B5" i="14"/>
  <c r="A5" i="14"/>
  <c r="B4" i="14"/>
  <c r="A4" i="14"/>
  <c r="B3" i="14"/>
  <c r="A3" i="14"/>
  <c r="F7" i="25"/>
  <c r="I7" i="25" s="1"/>
  <c r="E57" i="29"/>
  <c r="E58" i="29" s="1"/>
  <c r="C18" i="15"/>
  <c r="M21" i="27" s="1"/>
  <c r="F7" i="24"/>
  <c r="I7" i="24" s="1"/>
  <c r="D11" i="24"/>
  <c r="F50" i="23"/>
  <c r="I50" i="23" s="1"/>
  <c r="C81" i="23"/>
  <c r="O61" i="23"/>
  <c r="S61" i="23" s="1"/>
  <c r="H8" i="16"/>
  <c r="D16" i="15"/>
  <c r="N19" i="27" s="1"/>
  <c r="D34" i="11"/>
  <c r="F17" i="11"/>
  <c r="D39" i="11" s="1"/>
  <c r="B22" i="15"/>
  <c r="K25" i="27" s="1"/>
  <c r="L25" i="27" s="1"/>
  <c r="C23" i="15"/>
  <c r="M26" i="27" s="1"/>
  <c r="D63" i="15"/>
  <c r="N73" i="27" s="1"/>
  <c r="B63" i="15"/>
  <c r="K73" i="27" s="1"/>
  <c r="L73" i="27" s="1"/>
  <c r="B23" i="15"/>
  <c r="K26" i="27" s="1"/>
  <c r="L26" i="27" s="1"/>
  <c r="B61" i="15"/>
  <c r="J9" i="28" l="1"/>
  <c r="J37" i="28" s="1"/>
  <c r="E37" i="28"/>
  <c r="I60" i="27"/>
  <c r="E12" i="24"/>
  <c r="F33" i="29"/>
  <c r="G33" i="29"/>
  <c r="H33" i="29"/>
  <c r="I33" i="29"/>
  <c r="I55" i="27"/>
  <c r="J40" i="29"/>
  <c r="I56" i="27"/>
  <c r="I74" i="27"/>
  <c r="I21" i="27"/>
  <c r="I69" i="27"/>
  <c r="H19" i="16"/>
  <c r="I31" i="27"/>
  <c r="I70" i="27"/>
  <c r="I62" i="27"/>
  <c r="I57" i="27"/>
  <c r="R9" i="27"/>
  <c r="I19" i="27"/>
  <c r="R54" i="27"/>
  <c r="I25" i="27"/>
  <c r="I68" i="27"/>
  <c r="I63" i="27"/>
  <c r="I27" i="27"/>
  <c r="I12" i="27"/>
  <c r="H29" i="16"/>
  <c r="J74" i="28"/>
  <c r="G75" i="28"/>
  <c r="D75" i="28"/>
  <c r="D76" i="28" s="1"/>
  <c r="B75" i="28"/>
  <c r="H75" i="28"/>
  <c r="I72" i="27"/>
  <c r="I67" i="27"/>
  <c r="I65" i="27"/>
  <c r="I64" i="27"/>
  <c r="R64" i="27"/>
  <c r="R59" i="27"/>
  <c r="I59" i="27"/>
  <c r="I58" i="27"/>
  <c r="F76" i="27"/>
  <c r="E76" i="27"/>
  <c r="I35" i="27"/>
  <c r="I34" i="27"/>
  <c r="I33" i="27"/>
  <c r="I32" i="27"/>
  <c r="I30" i="27"/>
  <c r="I29" i="27"/>
  <c r="R27" i="27"/>
  <c r="R26" i="27"/>
  <c r="I24" i="27"/>
  <c r="I23" i="27"/>
  <c r="I22" i="27"/>
  <c r="I18" i="27"/>
  <c r="R18" i="27"/>
  <c r="R17" i="27"/>
  <c r="I17" i="27"/>
  <c r="I16" i="27"/>
  <c r="R16" i="27"/>
  <c r="I15" i="27"/>
  <c r="I14" i="27"/>
  <c r="I13" i="27"/>
  <c r="I11" i="27"/>
  <c r="I10" i="27"/>
  <c r="I13" i="26"/>
  <c r="H4" i="21"/>
  <c r="G5" i="22" s="1"/>
  <c r="O7" i="26" s="1"/>
  <c r="S7" i="26" s="1"/>
  <c r="H5" i="21"/>
  <c r="G9" i="22" s="1"/>
  <c r="O11" i="26" s="1"/>
  <c r="S11" i="26" s="1"/>
  <c r="F37" i="29"/>
  <c r="G30" i="29"/>
  <c r="F55" i="29"/>
  <c r="F6" i="29"/>
  <c r="J10" i="29"/>
  <c r="F23" i="29"/>
  <c r="F35" i="29"/>
  <c r="I25" i="29"/>
  <c r="F49" i="29"/>
  <c r="J53" i="29"/>
  <c r="J54" i="29"/>
  <c r="F26" i="29"/>
  <c r="I48" i="29"/>
  <c r="I27" i="29"/>
  <c r="J51" i="29"/>
  <c r="G6" i="29"/>
  <c r="H36" i="29"/>
  <c r="G14" i="29"/>
  <c r="J41" i="29"/>
  <c r="G27" i="29"/>
  <c r="J28" i="29"/>
  <c r="J31" i="29"/>
  <c r="G18" i="29"/>
  <c r="H28" i="29"/>
  <c r="I37" i="29"/>
  <c r="F47" i="29"/>
  <c r="G35" i="29"/>
  <c r="I36" i="29"/>
  <c r="H42" i="29"/>
  <c r="J17" i="29"/>
  <c r="I17" i="29"/>
  <c r="I35" i="29"/>
  <c r="F40" i="29"/>
  <c r="F54" i="29"/>
  <c r="F12" i="29"/>
  <c r="J16" i="29"/>
  <c r="H30" i="29"/>
  <c r="F44" i="29"/>
  <c r="F15" i="29"/>
  <c r="H26" i="29"/>
  <c r="H14" i="29"/>
  <c r="G36" i="29"/>
  <c r="J43" i="29"/>
  <c r="F41" i="29"/>
  <c r="H29" i="29"/>
  <c r="F18" i="29"/>
  <c r="I29" i="29"/>
  <c r="H21" i="29"/>
  <c r="G56" i="29"/>
  <c r="J14" i="29"/>
  <c r="H56" i="29"/>
  <c r="I53" i="29"/>
  <c r="I8" i="29"/>
  <c r="F45" i="29"/>
  <c r="I40" i="29"/>
  <c r="F9" i="29"/>
  <c r="F29" i="29"/>
  <c r="F31" i="29"/>
  <c r="J25" i="29"/>
  <c r="I10" i="29"/>
  <c r="F48" i="29"/>
  <c r="G19" i="29"/>
  <c r="H37" i="29"/>
  <c r="H25" i="29"/>
  <c r="J24" i="29"/>
  <c r="J13" i="29"/>
  <c r="F13" i="29"/>
  <c r="G47" i="29"/>
  <c r="G46" i="29"/>
  <c r="F24" i="29"/>
  <c r="H43" i="29"/>
  <c r="H13" i="29"/>
  <c r="I39" i="29"/>
  <c r="J7" i="29"/>
  <c r="J27" i="29"/>
  <c r="J42" i="29"/>
  <c r="I41" i="29"/>
  <c r="H15" i="29"/>
  <c r="G49" i="29"/>
  <c r="H54" i="29"/>
  <c r="I51" i="29"/>
  <c r="H7" i="29"/>
  <c r="G9" i="29"/>
  <c r="F42" i="29"/>
  <c r="G54" i="29"/>
  <c r="G16" i="29"/>
  <c r="F27" i="29"/>
  <c r="I23" i="29"/>
  <c r="G12" i="29"/>
  <c r="J37" i="29"/>
  <c r="J52" i="29"/>
  <c r="J8" i="29"/>
  <c r="J55" i="29"/>
  <c r="H46" i="29"/>
  <c r="G21" i="29"/>
  <c r="I56" i="29"/>
  <c r="H6" i="29"/>
  <c r="F53" i="29"/>
  <c r="I11" i="29"/>
  <c r="J11" i="15" s="1"/>
  <c r="L14" i="28" s="1"/>
  <c r="G13" i="29"/>
  <c r="I45" i="29"/>
  <c r="H10" i="29"/>
  <c r="G29" i="29"/>
  <c r="H39" i="29"/>
  <c r="H35" i="29"/>
  <c r="H50" i="29"/>
  <c r="J32" i="29"/>
  <c r="G32" i="29"/>
  <c r="J46" i="29"/>
  <c r="J33" i="29"/>
  <c r="I43" i="29"/>
  <c r="G51" i="29"/>
  <c r="H17" i="29"/>
  <c r="I19" i="29"/>
  <c r="H8" i="29"/>
  <c r="I6" i="29"/>
  <c r="J44" i="29"/>
  <c r="G42" i="29"/>
  <c r="F43" i="29"/>
  <c r="J35" i="29"/>
  <c r="G55" i="29"/>
  <c r="J6" i="29"/>
  <c r="G31" i="29"/>
  <c r="F39" i="29"/>
  <c r="G41" i="29"/>
  <c r="H48" i="29"/>
  <c r="F30" i="29"/>
  <c r="F11" i="29"/>
  <c r="G11" i="15" s="1"/>
  <c r="J36" i="29"/>
  <c r="J19" i="29"/>
  <c r="F36" i="29"/>
  <c r="G48" i="29"/>
  <c r="G53" i="29"/>
  <c r="H47" i="29"/>
  <c r="H53" i="29"/>
  <c r="J18" i="29"/>
  <c r="J38" i="29"/>
  <c r="I38" i="29"/>
  <c r="I50" i="29"/>
  <c r="H40" i="29"/>
  <c r="H51" i="29"/>
  <c r="I12" i="29"/>
  <c r="G7" i="29"/>
  <c r="I9" i="29"/>
  <c r="F56" i="29"/>
  <c r="I15" i="29"/>
  <c r="F21" i="29"/>
  <c r="H49" i="29"/>
  <c r="H16" i="29"/>
  <c r="F46" i="29"/>
  <c r="I46" i="29"/>
  <c r="J21" i="29"/>
  <c r="J56" i="29"/>
  <c r="J11" i="29"/>
  <c r="M11" i="15" s="1"/>
  <c r="R14" i="28" s="1"/>
  <c r="F10" i="29"/>
  <c r="F16" i="29"/>
  <c r="G11" i="29"/>
  <c r="H11" i="15" s="1"/>
  <c r="P14" i="28" s="1"/>
  <c r="I14" i="29"/>
  <c r="H11" i="29"/>
  <c r="I11" i="15" s="1"/>
  <c r="K14" i="28" s="1"/>
  <c r="G20" i="29"/>
  <c r="H24" i="29"/>
  <c r="F52" i="29"/>
  <c r="G22" i="29"/>
  <c r="I24" i="29"/>
  <c r="F22" i="29"/>
  <c r="I54" i="29"/>
  <c r="J22" i="29"/>
  <c r="J20" i="29"/>
  <c r="J12" i="29"/>
  <c r="G8" i="29"/>
  <c r="J49" i="29"/>
  <c r="H19" i="29"/>
  <c r="F17" i="29"/>
  <c r="I18" i="29"/>
  <c r="G15" i="29"/>
  <c r="G26" i="29"/>
  <c r="H27" i="29"/>
  <c r="F14" i="29"/>
  <c r="G39" i="29"/>
  <c r="H32" i="29"/>
  <c r="F28" i="29"/>
  <c r="I32" i="29"/>
  <c r="H55" i="29"/>
  <c r="I26" i="29"/>
  <c r="J23" i="29"/>
  <c r="J50" i="29"/>
  <c r="H12" i="29"/>
  <c r="J48" i="29"/>
  <c r="F25" i="29"/>
  <c r="H20" i="29"/>
  <c r="G24" i="29"/>
  <c r="F20" i="29"/>
  <c r="I30" i="29"/>
  <c r="F32" i="29"/>
  <c r="I20" i="29"/>
  <c r="G43" i="29"/>
  <c r="I42" i="29"/>
  <c r="G40" i="29"/>
  <c r="H44" i="29"/>
  <c r="I55" i="29"/>
  <c r="J29" i="29"/>
  <c r="J34" i="29"/>
  <c r="J45" i="29"/>
  <c r="F8" i="29"/>
  <c r="I10" i="25"/>
  <c r="D286" i="20"/>
  <c r="F286" i="20"/>
  <c r="O74" i="23"/>
  <c r="S74" i="23" s="1"/>
  <c r="J280" i="20"/>
  <c r="F280" i="20"/>
  <c r="D280" i="20"/>
  <c r="H286" i="20"/>
  <c r="G10" i="29"/>
  <c r="H52" i="29"/>
  <c r="H18" i="29"/>
  <c r="G44" i="29"/>
  <c r="I31" i="29"/>
  <c r="I21" i="29"/>
  <c r="F7" i="29"/>
  <c r="I52" i="29"/>
  <c r="F51" i="29"/>
  <c r="G45" i="29"/>
  <c r="G25" i="29"/>
  <c r="H31" i="29"/>
  <c r="H38" i="29"/>
  <c r="G52" i="29"/>
  <c r="H41" i="29"/>
  <c r="G37" i="29"/>
  <c r="I44" i="29"/>
  <c r="I13" i="29"/>
  <c r="F50" i="29"/>
  <c r="J9" i="29"/>
  <c r="F19" i="29"/>
  <c r="J15" i="29"/>
  <c r="G28" i="29"/>
  <c r="J30" i="29"/>
  <c r="H22" i="29"/>
  <c r="I7" i="29"/>
  <c r="G50" i="29"/>
  <c r="F38" i="29"/>
  <c r="G23" i="29"/>
  <c r="H23" i="29"/>
  <c r="I16" i="29"/>
  <c r="I28" i="29"/>
  <c r="G38" i="29"/>
  <c r="H9" i="29"/>
  <c r="I47" i="29"/>
  <c r="I22" i="29"/>
  <c r="H45" i="29"/>
  <c r="I49" i="29"/>
  <c r="J39" i="29"/>
  <c r="J26" i="29"/>
  <c r="G17" i="29"/>
  <c r="J47" i="29"/>
  <c r="F75" i="28"/>
  <c r="I75" i="28"/>
  <c r="E74" i="28"/>
  <c r="C75" i="28"/>
  <c r="C76" i="28" s="1"/>
  <c r="I73" i="27"/>
  <c r="I61" i="27"/>
  <c r="D75" i="27"/>
  <c r="R74" i="27"/>
  <c r="R58" i="27"/>
  <c r="I26" i="27"/>
  <c r="I28" i="27"/>
  <c r="I20" i="27"/>
  <c r="R34" i="27"/>
  <c r="C76" i="27"/>
  <c r="R29" i="27"/>
  <c r="I9" i="27"/>
  <c r="F13" i="26"/>
  <c r="F10" i="25"/>
  <c r="R25" i="27"/>
  <c r="K72" i="27"/>
  <c r="L72" i="27" s="1"/>
  <c r="B50" i="15"/>
  <c r="B43" i="15"/>
  <c r="B9" i="15"/>
  <c r="B30" i="15"/>
  <c r="B46" i="15"/>
  <c r="D24" i="15"/>
  <c r="D51" i="15"/>
  <c r="C13" i="15"/>
  <c r="D58" i="30"/>
  <c r="D59" i="30" s="1"/>
  <c r="B52" i="15"/>
  <c r="B45" i="15"/>
  <c r="B57" i="15"/>
  <c r="C28" i="15"/>
  <c r="B17" i="15"/>
  <c r="D27" i="15"/>
  <c r="N30" i="27" s="1"/>
  <c r="B10" i="15"/>
  <c r="C16" i="15"/>
  <c r="C54" i="15"/>
  <c r="D55" i="15"/>
  <c r="K69" i="27"/>
  <c r="L69" i="27" s="1"/>
  <c r="B7" i="15"/>
  <c r="C57" i="29"/>
  <c r="C58" i="29" s="1"/>
  <c r="B27" i="15"/>
  <c r="K66" i="27"/>
  <c r="L66" i="27" s="1"/>
  <c r="B47" i="15"/>
  <c r="B12" i="15"/>
  <c r="B18" i="15"/>
  <c r="B32" i="15"/>
  <c r="D12" i="15"/>
  <c r="N15" i="27" s="1"/>
  <c r="D58" i="15"/>
  <c r="N68" i="27" s="1"/>
  <c r="C17" i="15"/>
  <c r="M20" i="27" s="1"/>
  <c r="C29" i="15"/>
  <c r="M32" i="27" s="1"/>
  <c r="B25" i="15"/>
  <c r="B53" i="15"/>
  <c r="B19" i="15"/>
  <c r="B60" i="15"/>
  <c r="K11" i="27"/>
  <c r="L11" i="27" s="1"/>
  <c r="K23" i="27"/>
  <c r="L23" i="27" s="1"/>
  <c r="K32" i="27"/>
  <c r="L32" i="27" s="1"/>
  <c r="D9" i="15"/>
  <c r="N29" i="27"/>
  <c r="M18" i="27"/>
  <c r="C58" i="30"/>
  <c r="R61" i="27"/>
  <c r="R19" i="27"/>
  <c r="M74" i="27"/>
  <c r="R65" i="27"/>
  <c r="I66" i="27"/>
  <c r="H75" i="27"/>
  <c r="R73" i="27"/>
  <c r="I71" i="27"/>
  <c r="K68" i="27"/>
  <c r="L68" i="27" s="1"/>
  <c r="K15" i="23"/>
  <c r="B100" i="20"/>
  <c r="I81" i="23"/>
  <c r="G76" i="27"/>
  <c r="S11" i="24"/>
  <c r="K71" i="27"/>
  <c r="L71" i="27" s="1"/>
  <c r="M9" i="27"/>
  <c r="F11" i="24"/>
  <c r="I8" i="24"/>
  <c r="I11" i="24" s="1"/>
  <c r="R31" i="27"/>
  <c r="H49" i="16"/>
  <c r="E11" i="8"/>
  <c r="F81" i="23"/>
  <c r="F82" i="23" s="1"/>
  <c r="B21" i="15"/>
  <c r="I54" i="27"/>
  <c r="H28" i="16"/>
  <c r="D60" i="30" l="1"/>
  <c r="D61" i="30"/>
  <c r="K33" i="29"/>
  <c r="B30" i="17" s="1"/>
  <c r="G23" i="30"/>
  <c r="F34" i="30"/>
  <c r="G34" i="30"/>
  <c r="H34" i="30"/>
  <c r="I34" i="30"/>
  <c r="J34" i="30"/>
  <c r="M34" i="30"/>
  <c r="N34" i="30"/>
  <c r="J38" i="28"/>
  <c r="D12" i="31"/>
  <c r="I76" i="28"/>
  <c r="D10" i="31"/>
  <c r="G76" i="28"/>
  <c r="D11" i="31"/>
  <c r="H76" i="28"/>
  <c r="F76" i="28"/>
  <c r="C77" i="28"/>
  <c r="D7" i="31"/>
  <c r="B76" i="28"/>
  <c r="E76" i="28" s="1"/>
  <c r="D8" i="31"/>
  <c r="J75" i="28"/>
  <c r="E75" i="28"/>
  <c r="I75" i="27"/>
  <c r="H76" i="27"/>
  <c r="O8" i="25"/>
  <c r="S8" i="25" s="1"/>
  <c r="O7" i="25"/>
  <c r="S7" i="25" s="1"/>
  <c r="N23" i="30"/>
  <c r="I23" i="30"/>
  <c r="J22" i="15" s="1"/>
  <c r="L25" i="28" s="1"/>
  <c r="F23" i="30"/>
  <c r="G22" i="15" s="1"/>
  <c r="O25" i="28" s="1"/>
  <c r="K29" i="29"/>
  <c r="B26" i="17" s="1"/>
  <c r="C91" i="18" s="1"/>
  <c r="C92" i="18" s="1"/>
  <c r="C38" i="16" s="1"/>
  <c r="J41" i="23" s="1"/>
  <c r="J23" i="30"/>
  <c r="L22" i="15" s="1"/>
  <c r="Q25" i="28" s="1"/>
  <c r="K40" i="29"/>
  <c r="B37" i="17" s="1"/>
  <c r="C127" i="18" s="1"/>
  <c r="H22" i="15"/>
  <c r="P25" i="28" s="1"/>
  <c r="K41" i="29"/>
  <c r="B38" i="17" s="1"/>
  <c r="C130" i="18" s="1"/>
  <c r="C131" i="18" s="1"/>
  <c r="C55" i="16" s="1"/>
  <c r="B53" i="20" s="1"/>
  <c r="D53" i="20" s="1"/>
  <c r="K8" i="29"/>
  <c r="B5" i="17" s="1"/>
  <c r="C11" i="18" s="1"/>
  <c r="K20" i="29"/>
  <c r="B17" i="17" s="1"/>
  <c r="C62" i="18" s="1"/>
  <c r="K55" i="29"/>
  <c r="B52" i="17" s="1"/>
  <c r="C181" i="18" s="1"/>
  <c r="C76" i="16" s="1"/>
  <c r="K54" i="29"/>
  <c r="B51" i="17" s="1"/>
  <c r="C178" i="18" s="1"/>
  <c r="C75" i="16" s="1"/>
  <c r="K49" i="29"/>
  <c r="B46" i="17" s="1"/>
  <c r="C158" i="18" s="1"/>
  <c r="K23" i="29"/>
  <c r="B20" i="17" s="1"/>
  <c r="C72" i="18" s="1"/>
  <c r="C73" i="18" s="1"/>
  <c r="C32" i="16" s="1"/>
  <c r="J35" i="23" s="1"/>
  <c r="K17" i="29"/>
  <c r="B14" i="17" s="1"/>
  <c r="C49" i="18" s="1"/>
  <c r="K26" i="29"/>
  <c r="B23" i="17" s="1"/>
  <c r="C81" i="18" s="1"/>
  <c r="C82" i="18" s="1"/>
  <c r="C35" i="16" s="1"/>
  <c r="B35" i="20" s="1"/>
  <c r="D35" i="20" s="1"/>
  <c r="K6" i="29"/>
  <c r="B3" i="17" s="1"/>
  <c r="K39" i="29"/>
  <c r="B36" i="17" s="1"/>
  <c r="C124" i="18" s="1"/>
  <c r="K32" i="29"/>
  <c r="B29" i="17" s="1"/>
  <c r="C101" i="18" s="1"/>
  <c r="K14" i="29"/>
  <c r="B11" i="17" s="1"/>
  <c r="C40" i="18" s="1"/>
  <c r="C41" i="18" s="1"/>
  <c r="C19" i="16" s="1"/>
  <c r="K36" i="29"/>
  <c r="B33" i="17" s="1"/>
  <c r="C111" i="18" s="1"/>
  <c r="K46" i="29"/>
  <c r="B43" i="17" s="1"/>
  <c r="C149" i="18" s="1"/>
  <c r="C150" i="18" s="1"/>
  <c r="C63" i="16" s="1"/>
  <c r="J66" i="23" s="1"/>
  <c r="K56" i="29"/>
  <c r="B53" i="17" s="1"/>
  <c r="C184" i="18" s="1"/>
  <c r="C185" i="18" s="1"/>
  <c r="C77" i="16" s="1"/>
  <c r="J80" i="23" s="1"/>
  <c r="K53" i="29"/>
  <c r="B50" i="17" s="1"/>
  <c r="C173" i="18" s="1"/>
  <c r="K42" i="29"/>
  <c r="B39" i="17" s="1"/>
  <c r="C133" i="18" s="1"/>
  <c r="C56" i="16" s="1"/>
  <c r="K43" i="29"/>
  <c r="B40" i="17" s="1"/>
  <c r="K27" i="29"/>
  <c r="B24" i="17" s="1"/>
  <c r="C84" i="18" s="1"/>
  <c r="K24" i="29"/>
  <c r="B21" i="17" s="1"/>
  <c r="C75" i="18" s="1"/>
  <c r="K25" i="29"/>
  <c r="B22" i="17" s="1"/>
  <c r="C78" i="18" s="1"/>
  <c r="K48" i="29"/>
  <c r="B45" i="17" s="1"/>
  <c r="C155" i="18" s="1"/>
  <c r="K22" i="29"/>
  <c r="B19" i="17" s="1"/>
  <c r="C69" i="18" s="1"/>
  <c r="K35" i="29"/>
  <c r="B32" i="17" s="1"/>
  <c r="C108" i="18" s="1"/>
  <c r="K45" i="29"/>
  <c r="B42" i="17" s="1"/>
  <c r="C145" i="18" s="1"/>
  <c r="K12" i="29"/>
  <c r="B9" i="17" s="1"/>
  <c r="C25" i="18" s="1"/>
  <c r="K15" i="29"/>
  <c r="B12" i="17" s="1"/>
  <c r="C43" i="18" s="1"/>
  <c r="K19" i="29"/>
  <c r="B16" i="17" s="1"/>
  <c r="C58" i="18" s="1"/>
  <c r="K51" i="29"/>
  <c r="B48" i="17" s="1"/>
  <c r="C167" i="18" s="1"/>
  <c r="C168" i="18" s="1"/>
  <c r="C71" i="16" s="1"/>
  <c r="K18" i="29"/>
  <c r="B15" i="17" s="1"/>
  <c r="C53" i="18" s="1"/>
  <c r="K30" i="29"/>
  <c r="B27" i="17" s="1"/>
  <c r="C94" i="18" s="1"/>
  <c r="K16" i="29"/>
  <c r="B13" i="17" s="1"/>
  <c r="C46" i="18" s="1"/>
  <c r="J57" i="29"/>
  <c r="K11" i="29"/>
  <c r="B8" i="17" s="1"/>
  <c r="K47" i="29"/>
  <c r="B44" i="17" s="1"/>
  <c r="C152" i="18" s="1"/>
  <c r="C153" i="18" s="1"/>
  <c r="C64" i="16" s="1"/>
  <c r="K21" i="29"/>
  <c r="B18" i="17" s="1"/>
  <c r="C66" i="18" s="1"/>
  <c r="K37" i="29"/>
  <c r="B34" i="17" s="1"/>
  <c r="C114" i="18" s="1"/>
  <c r="K7" i="29"/>
  <c r="B4" i="17" s="1"/>
  <c r="C8" i="18" s="1"/>
  <c r="G57" i="29"/>
  <c r="M23" i="30"/>
  <c r="H23" i="30"/>
  <c r="I22" i="15" s="1"/>
  <c r="K25" i="28" s="1"/>
  <c r="I57" i="29"/>
  <c r="K44" i="29"/>
  <c r="B41" i="17" s="1"/>
  <c r="K28" i="29"/>
  <c r="B25" i="17" s="1"/>
  <c r="C87" i="18" s="1"/>
  <c r="C88" i="18" s="1"/>
  <c r="C37" i="16" s="1"/>
  <c r="K52" i="29"/>
  <c r="B49" i="17" s="1"/>
  <c r="C170" i="18" s="1"/>
  <c r="C171" i="18" s="1"/>
  <c r="C72" i="16" s="1"/>
  <c r="B71" i="20" s="1"/>
  <c r="J71" i="20" s="1"/>
  <c r="K31" i="29"/>
  <c r="B28" i="17" s="1"/>
  <c r="C98" i="18" s="1"/>
  <c r="H57" i="29"/>
  <c r="K10" i="29"/>
  <c r="B7" i="17" s="1"/>
  <c r="C19" i="18" s="1"/>
  <c r="K50" i="29"/>
  <c r="B47" i="17" s="1"/>
  <c r="C164" i="18" s="1"/>
  <c r="F57" i="29"/>
  <c r="K38" i="29"/>
  <c r="B35" i="17" s="1"/>
  <c r="C120" i="18" s="1"/>
  <c r="K13" i="29"/>
  <c r="B10" i="17" s="1"/>
  <c r="K9" i="29"/>
  <c r="B6" i="17" s="1"/>
  <c r="C15" i="18" s="1"/>
  <c r="D76" i="27"/>
  <c r="R72" i="27"/>
  <c r="R66" i="27"/>
  <c r="O14" i="28"/>
  <c r="N12" i="27"/>
  <c r="D65" i="15"/>
  <c r="K15" i="27"/>
  <c r="L15" i="27" s="1"/>
  <c r="M19" i="27"/>
  <c r="K56" i="27"/>
  <c r="L56" i="27" s="1"/>
  <c r="K13" i="27"/>
  <c r="L13" i="27" s="1"/>
  <c r="K62" i="27"/>
  <c r="L62" i="27" s="1"/>
  <c r="K55" i="27"/>
  <c r="L55" i="27" s="1"/>
  <c r="K57" i="27"/>
  <c r="L57" i="27" s="1"/>
  <c r="R71" i="27"/>
  <c r="R23" i="27"/>
  <c r="K70" i="27"/>
  <c r="L70" i="27" s="1"/>
  <c r="K30" i="27"/>
  <c r="L30" i="27" s="1"/>
  <c r="K12" i="27"/>
  <c r="L12" i="27" s="1"/>
  <c r="K20" i="27"/>
  <c r="L20" i="27" s="1"/>
  <c r="R11" i="27"/>
  <c r="K22" i="27"/>
  <c r="L22" i="27" s="1"/>
  <c r="M16" i="27"/>
  <c r="K53" i="27"/>
  <c r="K24" i="27"/>
  <c r="L24" i="27" s="1"/>
  <c r="K10" i="27"/>
  <c r="B65" i="15"/>
  <c r="M31" i="27"/>
  <c r="K63" i="27"/>
  <c r="L63" i="27" s="1"/>
  <c r="K35" i="27"/>
  <c r="L35" i="27" s="1"/>
  <c r="N61" i="27"/>
  <c r="R32" i="27"/>
  <c r="K33" i="27"/>
  <c r="L33" i="27" s="1"/>
  <c r="N65" i="27"/>
  <c r="C65" i="15"/>
  <c r="R68" i="27"/>
  <c r="D100" i="20"/>
  <c r="F100" i="20"/>
  <c r="H100" i="20"/>
  <c r="J100" i="20"/>
  <c r="R69" i="27"/>
  <c r="M64" i="27"/>
  <c r="K28" i="27"/>
  <c r="L28" i="27" s="1"/>
  <c r="K21" i="27"/>
  <c r="L21" i="27" s="1"/>
  <c r="M47" i="30"/>
  <c r="E54" i="15" s="1"/>
  <c r="N24" i="30"/>
  <c r="N30" i="30"/>
  <c r="N9" i="30"/>
  <c r="I8" i="30"/>
  <c r="J7" i="15" s="1"/>
  <c r="L10" i="28" s="1"/>
  <c r="H44" i="30"/>
  <c r="I51" i="15" s="1"/>
  <c r="K60" i="28" s="1"/>
  <c r="M22" i="30"/>
  <c r="E21" i="15" s="1"/>
  <c r="M33" i="30"/>
  <c r="E32" i="15" s="1"/>
  <c r="M10" i="30"/>
  <c r="E9" i="15" s="1"/>
  <c r="J48" i="30"/>
  <c r="L55" i="15" s="1"/>
  <c r="Q64" i="28" s="1"/>
  <c r="H41" i="30"/>
  <c r="I48" i="15" s="1"/>
  <c r="K57" i="28" s="1"/>
  <c r="M17" i="30"/>
  <c r="E16" i="15" s="1"/>
  <c r="N12" i="30"/>
  <c r="N18" i="30"/>
  <c r="M8" i="30"/>
  <c r="E7" i="15" s="1"/>
  <c r="G49" i="30"/>
  <c r="H56" i="15" s="1"/>
  <c r="P65" i="28" s="1"/>
  <c r="G45" i="30"/>
  <c r="H52" i="15" s="1"/>
  <c r="P61" i="28" s="1"/>
  <c r="H53" i="30"/>
  <c r="I60" i="15" s="1"/>
  <c r="K69" i="28" s="1"/>
  <c r="N44" i="30"/>
  <c r="N53" i="30"/>
  <c r="J25" i="30"/>
  <c r="L24" i="15" s="1"/>
  <c r="Q27" i="28" s="1"/>
  <c r="M49" i="30"/>
  <c r="E56" i="15" s="1"/>
  <c r="G11" i="30"/>
  <c r="H10" i="15" s="1"/>
  <c r="P13" i="28" s="1"/>
  <c r="G30" i="30"/>
  <c r="H29" i="15" s="1"/>
  <c r="P32" i="28" s="1"/>
  <c r="H45" i="30"/>
  <c r="I52" i="15" s="1"/>
  <c r="K61" i="28" s="1"/>
  <c r="J42" i="30"/>
  <c r="L49" i="15" s="1"/>
  <c r="Q58" i="28" s="1"/>
  <c r="I14" i="30"/>
  <c r="J13" i="15" s="1"/>
  <c r="L16" i="28" s="1"/>
  <c r="G8" i="30"/>
  <c r="H7" i="15" s="1"/>
  <c r="P10" i="28" s="1"/>
  <c r="N15" i="30"/>
  <c r="N17" i="30"/>
  <c r="M41" i="30"/>
  <c r="E48" i="15" s="1"/>
  <c r="H51" i="30"/>
  <c r="I58" i="15" s="1"/>
  <c r="K67" i="28" s="1"/>
  <c r="J56" i="30"/>
  <c r="L63" i="15" s="1"/>
  <c r="Q72" i="28" s="1"/>
  <c r="I18" i="30"/>
  <c r="J17" i="15" s="1"/>
  <c r="L20" i="28" s="1"/>
  <c r="G43" i="30"/>
  <c r="H50" i="15" s="1"/>
  <c r="P59" i="28" s="1"/>
  <c r="J7" i="30"/>
  <c r="G32" i="30"/>
  <c r="H31" i="15" s="1"/>
  <c r="P34" i="28" s="1"/>
  <c r="M27" i="30"/>
  <c r="E26" i="15" s="1"/>
  <c r="J24" i="30"/>
  <c r="L23" i="15" s="1"/>
  <c r="Q26" i="28" s="1"/>
  <c r="G39" i="30"/>
  <c r="H46" i="15" s="1"/>
  <c r="P55" i="28" s="1"/>
  <c r="F33" i="30"/>
  <c r="J54" i="30"/>
  <c r="L61" i="15" s="1"/>
  <c r="Q70" i="28" s="1"/>
  <c r="I45" i="30"/>
  <c r="J52" i="15" s="1"/>
  <c r="L61" i="28" s="1"/>
  <c r="J19" i="30"/>
  <c r="L18" i="15" s="1"/>
  <c r="Q21" i="28" s="1"/>
  <c r="M40" i="30"/>
  <c r="E47" i="15" s="1"/>
  <c r="M53" i="30"/>
  <c r="E60" i="15" s="1"/>
  <c r="G22" i="30"/>
  <c r="H21" i="15" s="1"/>
  <c r="P24" i="28" s="1"/>
  <c r="M11" i="30"/>
  <c r="E10" i="15" s="1"/>
  <c r="N20" i="30"/>
  <c r="G7" i="30"/>
  <c r="I47" i="30"/>
  <c r="J54" i="15" s="1"/>
  <c r="L63" i="28" s="1"/>
  <c r="H21" i="30"/>
  <c r="I20" i="15" s="1"/>
  <c r="K23" i="28" s="1"/>
  <c r="H46" i="30"/>
  <c r="I53" i="15" s="1"/>
  <c r="K62" i="28" s="1"/>
  <c r="N11" i="30"/>
  <c r="G55" i="30"/>
  <c r="H62" i="15" s="1"/>
  <c r="P71" i="28" s="1"/>
  <c r="M38" i="30"/>
  <c r="E45" i="15" s="1"/>
  <c r="J50" i="30"/>
  <c r="L57" i="15" s="1"/>
  <c r="Q66" i="28" s="1"/>
  <c r="M55" i="30"/>
  <c r="E62" i="15" s="1"/>
  <c r="I43" i="30"/>
  <c r="J50" i="15" s="1"/>
  <c r="L59" i="28" s="1"/>
  <c r="F18" i="30"/>
  <c r="F39" i="30"/>
  <c r="H17" i="30"/>
  <c r="I16" i="15" s="1"/>
  <c r="K19" i="28" s="1"/>
  <c r="M48" i="30"/>
  <c r="E55" i="15" s="1"/>
  <c r="I19" i="30"/>
  <c r="J18" i="15" s="1"/>
  <c r="L21" i="28" s="1"/>
  <c r="G29" i="30"/>
  <c r="H28" i="15" s="1"/>
  <c r="P31" i="28" s="1"/>
  <c r="M14" i="30"/>
  <c r="E13" i="15" s="1"/>
  <c r="F30" i="30"/>
  <c r="H37" i="30"/>
  <c r="I44" i="15" s="1"/>
  <c r="K53" i="28" s="1"/>
  <c r="F41" i="30"/>
  <c r="F8" i="30"/>
  <c r="N46" i="30"/>
  <c r="N39" i="30"/>
  <c r="F51" i="30"/>
  <c r="G21" i="30"/>
  <c r="H20" i="15" s="1"/>
  <c r="P23" i="28" s="1"/>
  <c r="G47" i="30"/>
  <c r="H54" i="15" s="1"/>
  <c r="P63" i="28" s="1"/>
  <c r="I16" i="30"/>
  <c r="J15" i="15" s="1"/>
  <c r="L18" i="28" s="1"/>
  <c r="N54" i="30"/>
  <c r="I53" i="30"/>
  <c r="J60" i="15" s="1"/>
  <c r="L69" i="28" s="1"/>
  <c r="M15" i="30"/>
  <c r="E14" i="15" s="1"/>
  <c r="G56" i="30"/>
  <c r="H63" i="15" s="1"/>
  <c r="P72" i="28" s="1"/>
  <c r="J32" i="30"/>
  <c r="L31" i="15" s="1"/>
  <c r="Q34" i="28" s="1"/>
  <c r="J55" i="30"/>
  <c r="L62" i="15" s="1"/>
  <c r="Q71" i="28" s="1"/>
  <c r="F15" i="30"/>
  <c r="H42" i="30"/>
  <c r="I49" i="15" s="1"/>
  <c r="K58" i="28" s="1"/>
  <c r="H56" i="30"/>
  <c r="I63" i="15" s="1"/>
  <c r="K72" i="28" s="1"/>
  <c r="I26" i="30"/>
  <c r="J25" i="15" s="1"/>
  <c r="L28" i="28" s="1"/>
  <c r="G28" i="30"/>
  <c r="H27" i="15" s="1"/>
  <c r="P30" i="28" s="1"/>
  <c r="I15" i="30"/>
  <c r="J14" i="15" s="1"/>
  <c r="L17" i="28" s="1"/>
  <c r="J18" i="30"/>
  <c r="L17" i="15" s="1"/>
  <c r="Q20" i="28" s="1"/>
  <c r="G24" i="30"/>
  <c r="H23" i="15" s="1"/>
  <c r="P26" i="28" s="1"/>
  <c r="G38" i="30"/>
  <c r="H45" i="15" s="1"/>
  <c r="P54" i="28" s="1"/>
  <c r="J44" i="30"/>
  <c r="L51" i="15" s="1"/>
  <c r="Q60" i="28" s="1"/>
  <c r="M32" i="30"/>
  <c r="E31" i="15" s="1"/>
  <c r="N29" i="30"/>
  <c r="N25" i="30"/>
  <c r="G25" i="30"/>
  <c r="H24" i="15" s="1"/>
  <c r="P27" i="28" s="1"/>
  <c r="H13" i="30"/>
  <c r="I12" i="15" s="1"/>
  <c r="K15" i="28" s="1"/>
  <c r="G41" i="30"/>
  <c r="H48" i="15" s="1"/>
  <c r="P57" i="28" s="1"/>
  <c r="N56" i="30"/>
  <c r="N22" i="30"/>
  <c r="G37" i="30"/>
  <c r="H44" i="15" s="1"/>
  <c r="P53" i="28" s="1"/>
  <c r="M24" i="30"/>
  <c r="E23" i="15" s="1"/>
  <c r="H28" i="30"/>
  <c r="I27" i="15" s="1"/>
  <c r="K30" i="28" s="1"/>
  <c r="M50" i="30"/>
  <c r="E57" i="15" s="1"/>
  <c r="I21" i="30"/>
  <c r="J20" i="15" s="1"/>
  <c r="L23" i="28" s="1"/>
  <c r="J46" i="30"/>
  <c r="L53" i="15" s="1"/>
  <c r="Q62" i="28" s="1"/>
  <c r="J28" i="30"/>
  <c r="L27" i="15" s="1"/>
  <c r="Q30" i="28" s="1"/>
  <c r="H38" i="30"/>
  <c r="I45" i="15" s="1"/>
  <c r="K54" i="28" s="1"/>
  <c r="M7" i="30"/>
  <c r="E6" i="15" s="1"/>
  <c r="N47" i="30"/>
  <c r="F55" i="30"/>
  <c r="I9" i="30"/>
  <c r="J8" i="15" s="1"/>
  <c r="L11" i="28" s="1"/>
  <c r="H33" i="30"/>
  <c r="I32" i="15" s="1"/>
  <c r="K35" i="28" s="1"/>
  <c r="J17" i="30"/>
  <c r="L16" i="15" s="1"/>
  <c r="Q19" i="28" s="1"/>
  <c r="J51" i="30"/>
  <c r="L58" i="15" s="1"/>
  <c r="Q67" i="28" s="1"/>
  <c r="H26" i="30"/>
  <c r="I25" i="15" s="1"/>
  <c r="K28" i="28" s="1"/>
  <c r="G36" i="30"/>
  <c r="H43" i="15" s="1"/>
  <c r="P52" i="28" s="1"/>
  <c r="H19" i="30"/>
  <c r="I18" i="15" s="1"/>
  <c r="K21" i="28" s="1"/>
  <c r="M36" i="30"/>
  <c r="E43" i="15" s="1"/>
  <c r="G44" i="30"/>
  <c r="H51" i="15" s="1"/>
  <c r="P60" i="28" s="1"/>
  <c r="M20" i="30"/>
  <c r="E19" i="15" s="1"/>
  <c r="I38" i="30"/>
  <c r="J45" i="15" s="1"/>
  <c r="L54" i="28" s="1"/>
  <c r="I17" i="30"/>
  <c r="J16" i="15" s="1"/>
  <c r="L19" i="28" s="1"/>
  <c r="M39" i="30"/>
  <c r="E46" i="15" s="1"/>
  <c r="J16" i="30"/>
  <c r="L15" i="15" s="1"/>
  <c r="Q18" i="28" s="1"/>
  <c r="H20" i="30"/>
  <c r="I19" i="15" s="1"/>
  <c r="K22" i="28" s="1"/>
  <c r="M44" i="30"/>
  <c r="E51" i="15" s="1"/>
  <c r="I56" i="30"/>
  <c r="J63" i="15" s="1"/>
  <c r="L72" i="28" s="1"/>
  <c r="N41" i="30"/>
  <c r="F16" i="30"/>
  <c r="H40" i="30"/>
  <c r="I47" i="15" s="1"/>
  <c r="K56" i="28" s="1"/>
  <c r="H39" i="30"/>
  <c r="I46" i="15" s="1"/>
  <c r="K55" i="28" s="1"/>
  <c r="N50" i="30"/>
  <c r="F32" i="30"/>
  <c r="H30" i="30"/>
  <c r="I29" i="15" s="1"/>
  <c r="K32" i="28" s="1"/>
  <c r="I13" i="30"/>
  <c r="J12" i="15" s="1"/>
  <c r="L15" i="28" s="1"/>
  <c r="J26" i="30"/>
  <c r="L25" i="15" s="1"/>
  <c r="Q28" i="28" s="1"/>
  <c r="F27" i="30"/>
  <c r="I51" i="30"/>
  <c r="J58" i="15" s="1"/>
  <c r="L67" i="28" s="1"/>
  <c r="F31" i="30"/>
  <c r="J31" i="30"/>
  <c r="L30" i="15" s="1"/>
  <c r="Q33" i="28" s="1"/>
  <c r="J41" i="30"/>
  <c r="L48" i="15" s="1"/>
  <c r="Q57" i="28" s="1"/>
  <c r="G20" i="30"/>
  <c r="H19" i="15" s="1"/>
  <c r="P22" i="28" s="1"/>
  <c r="N43" i="30"/>
  <c r="F29" i="30"/>
  <c r="N48" i="30"/>
  <c r="N14" i="30"/>
  <c r="M19" i="30"/>
  <c r="E18" i="15" s="1"/>
  <c r="M43" i="30"/>
  <c r="E50" i="15" s="1"/>
  <c r="M37" i="30"/>
  <c r="E44" i="15" s="1"/>
  <c r="M30" i="30"/>
  <c r="E29" i="15" s="1"/>
  <c r="N42" i="30"/>
  <c r="J43" i="30"/>
  <c r="L50" i="15" s="1"/>
  <c r="Q59" i="28" s="1"/>
  <c r="I50" i="30"/>
  <c r="J57" i="15" s="1"/>
  <c r="L66" i="28" s="1"/>
  <c r="H15" i="30"/>
  <c r="I14" i="15" s="1"/>
  <c r="K17" i="28" s="1"/>
  <c r="G13" i="30"/>
  <c r="H12" i="15" s="1"/>
  <c r="P15" i="28" s="1"/>
  <c r="I57" i="30"/>
  <c r="J64" i="15" s="1"/>
  <c r="L73" i="28" s="1"/>
  <c r="J8" i="30"/>
  <c r="L7" i="15" s="1"/>
  <c r="Q10" i="28" s="1"/>
  <c r="G9" i="30"/>
  <c r="H8" i="15" s="1"/>
  <c r="P11" i="28" s="1"/>
  <c r="H49" i="30"/>
  <c r="I56" i="15" s="1"/>
  <c r="K65" i="28" s="1"/>
  <c r="F38" i="30"/>
  <c r="N26" i="30"/>
  <c r="F19" i="30"/>
  <c r="N52" i="30"/>
  <c r="N35" i="30"/>
  <c r="F49" i="30"/>
  <c r="F10" i="30"/>
  <c r="N49" i="30"/>
  <c r="N38" i="30"/>
  <c r="H14" i="30"/>
  <c r="I13" i="15" s="1"/>
  <c r="K16" i="28" s="1"/>
  <c r="F50" i="30"/>
  <c r="H8" i="30"/>
  <c r="I7" i="15" s="1"/>
  <c r="K10" i="28" s="1"/>
  <c r="M9" i="30"/>
  <c r="E8" i="15" s="1"/>
  <c r="G53" i="30"/>
  <c r="H60" i="15" s="1"/>
  <c r="P69" i="28" s="1"/>
  <c r="G27" i="30"/>
  <c r="H26" i="15" s="1"/>
  <c r="P29" i="28" s="1"/>
  <c r="I54" i="30"/>
  <c r="J61" i="15" s="1"/>
  <c r="L70" i="28" s="1"/>
  <c r="F37" i="30"/>
  <c r="F47" i="30"/>
  <c r="H50" i="30"/>
  <c r="I57" i="15" s="1"/>
  <c r="K66" i="28" s="1"/>
  <c r="F13" i="30"/>
  <c r="H31" i="30"/>
  <c r="I30" i="15" s="1"/>
  <c r="K33" i="28" s="1"/>
  <c r="J45" i="30"/>
  <c r="L52" i="15" s="1"/>
  <c r="Q61" i="28" s="1"/>
  <c r="I49" i="30"/>
  <c r="J56" i="15" s="1"/>
  <c r="L65" i="28" s="1"/>
  <c r="N10" i="30"/>
  <c r="F17" i="30"/>
  <c r="H7" i="30"/>
  <c r="H24" i="30"/>
  <c r="I23" i="15" s="1"/>
  <c r="K26" i="28" s="1"/>
  <c r="J33" i="30"/>
  <c r="L32" i="15" s="1"/>
  <c r="Q35" i="28" s="1"/>
  <c r="I32" i="30"/>
  <c r="J31" i="15" s="1"/>
  <c r="L34" i="28" s="1"/>
  <c r="N28" i="30"/>
  <c r="N21" i="30"/>
  <c r="G18" i="30"/>
  <c r="H17" i="15" s="1"/>
  <c r="P20" i="28" s="1"/>
  <c r="I24" i="30"/>
  <c r="J23" i="15" s="1"/>
  <c r="L26" i="28" s="1"/>
  <c r="J36" i="30"/>
  <c r="L43" i="15" s="1"/>
  <c r="Q52" i="28" s="1"/>
  <c r="G26" i="30"/>
  <c r="H25" i="15" s="1"/>
  <c r="P28" i="28" s="1"/>
  <c r="J20" i="30"/>
  <c r="L19" i="15" s="1"/>
  <c r="Q22" i="28" s="1"/>
  <c r="F48" i="30"/>
  <c r="J40" i="30"/>
  <c r="L47" i="15" s="1"/>
  <c r="Q56" i="28" s="1"/>
  <c r="J38" i="30"/>
  <c r="L45" i="15" s="1"/>
  <c r="Q54" i="28" s="1"/>
  <c r="H36" i="30"/>
  <c r="I43" i="15" s="1"/>
  <c r="K52" i="28" s="1"/>
  <c r="G50" i="30"/>
  <c r="H57" i="15" s="1"/>
  <c r="P66" i="28" s="1"/>
  <c r="G16" i="30"/>
  <c r="H15" i="15" s="1"/>
  <c r="P18" i="28" s="1"/>
  <c r="H55" i="30"/>
  <c r="I62" i="15" s="1"/>
  <c r="K71" i="28" s="1"/>
  <c r="F42" i="30"/>
  <c r="F45" i="30"/>
  <c r="F52" i="30"/>
  <c r="N8" i="30"/>
  <c r="J10" i="30"/>
  <c r="L9" i="15" s="1"/>
  <c r="Q12" i="28" s="1"/>
  <c r="H22" i="30"/>
  <c r="I21" i="15" s="1"/>
  <c r="K24" i="28" s="1"/>
  <c r="H47" i="30"/>
  <c r="I54" i="15" s="1"/>
  <c r="K63" i="28" s="1"/>
  <c r="F40" i="30"/>
  <c r="H57" i="30"/>
  <c r="I64" i="15" s="1"/>
  <c r="K73" i="28" s="1"/>
  <c r="N55" i="30"/>
  <c r="J37" i="30"/>
  <c r="L44" i="15" s="1"/>
  <c r="Q53" i="28" s="1"/>
  <c r="M18" i="30"/>
  <c r="E17" i="15" s="1"/>
  <c r="M57" i="30"/>
  <c r="E64" i="15" s="1"/>
  <c r="N36" i="30"/>
  <c r="F11" i="30"/>
  <c r="F25" i="30"/>
  <c r="H52" i="30"/>
  <c r="I59" i="15" s="1"/>
  <c r="K68" i="28" s="1"/>
  <c r="N40" i="30"/>
  <c r="G46" i="30"/>
  <c r="H53" i="15" s="1"/>
  <c r="P62" i="28" s="1"/>
  <c r="F20" i="30"/>
  <c r="H27" i="30"/>
  <c r="I26" i="15" s="1"/>
  <c r="K29" i="28" s="1"/>
  <c r="F7" i="30"/>
  <c r="N19" i="30"/>
  <c r="M13" i="30"/>
  <c r="E12" i="15" s="1"/>
  <c r="M51" i="30"/>
  <c r="E58" i="15" s="1"/>
  <c r="M29" i="30"/>
  <c r="E28" i="15" s="1"/>
  <c r="M25" i="30"/>
  <c r="E24" i="15" s="1"/>
  <c r="H32" i="30"/>
  <c r="I31" i="15" s="1"/>
  <c r="K34" i="28" s="1"/>
  <c r="I27" i="30"/>
  <c r="J26" i="15" s="1"/>
  <c r="L29" i="28" s="1"/>
  <c r="F57" i="30"/>
  <c r="H29" i="30"/>
  <c r="I28" i="15" s="1"/>
  <c r="K31" i="28" s="1"/>
  <c r="N7" i="30"/>
  <c r="F54" i="30"/>
  <c r="M21" i="30"/>
  <c r="E20" i="15" s="1"/>
  <c r="H10" i="30"/>
  <c r="I9" i="15" s="1"/>
  <c r="K12" i="28" s="1"/>
  <c r="H18" i="30"/>
  <c r="I17" i="15" s="1"/>
  <c r="K20" i="28" s="1"/>
  <c r="G31" i="30"/>
  <c r="H30" i="15" s="1"/>
  <c r="P33" i="28" s="1"/>
  <c r="N51" i="30"/>
  <c r="F22" i="30"/>
  <c r="I55" i="30"/>
  <c r="J62" i="15" s="1"/>
  <c r="L71" i="28" s="1"/>
  <c r="G10" i="30"/>
  <c r="H9" i="15" s="1"/>
  <c r="P12" i="28" s="1"/>
  <c r="J27" i="30"/>
  <c r="L26" i="15" s="1"/>
  <c r="Q29" i="28" s="1"/>
  <c r="I39" i="30"/>
  <c r="J46" i="15" s="1"/>
  <c r="L55" i="28" s="1"/>
  <c r="I31" i="30"/>
  <c r="J30" i="15" s="1"/>
  <c r="L33" i="28" s="1"/>
  <c r="N13" i="30"/>
  <c r="G17" i="30"/>
  <c r="H16" i="15" s="1"/>
  <c r="P19" i="28" s="1"/>
  <c r="F43" i="30"/>
  <c r="I11" i="30"/>
  <c r="J10" i="15" s="1"/>
  <c r="L13" i="28" s="1"/>
  <c r="J39" i="30"/>
  <c r="L46" i="15" s="1"/>
  <c r="Q55" i="28" s="1"/>
  <c r="N57" i="30"/>
  <c r="G48" i="30"/>
  <c r="H55" i="15" s="1"/>
  <c r="P64" i="28" s="1"/>
  <c r="I36" i="30"/>
  <c r="J43" i="15" s="1"/>
  <c r="L52" i="28" s="1"/>
  <c r="I25" i="30"/>
  <c r="J24" i="15" s="1"/>
  <c r="L27" i="28" s="1"/>
  <c r="I7" i="30"/>
  <c r="J15" i="30"/>
  <c r="L14" i="15" s="1"/>
  <c r="Q17" i="28" s="1"/>
  <c r="I10" i="30"/>
  <c r="J9" i="15" s="1"/>
  <c r="L12" i="28" s="1"/>
  <c r="G52" i="30"/>
  <c r="H59" i="15" s="1"/>
  <c r="P68" i="28" s="1"/>
  <c r="I29" i="30"/>
  <c r="J28" i="15" s="1"/>
  <c r="L31" i="28" s="1"/>
  <c r="I33" i="30"/>
  <c r="J32" i="15" s="1"/>
  <c r="L35" i="28" s="1"/>
  <c r="I30" i="30"/>
  <c r="J29" i="15" s="1"/>
  <c r="L32" i="28" s="1"/>
  <c r="I20" i="30"/>
  <c r="J19" i="15" s="1"/>
  <c r="L22" i="28" s="1"/>
  <c r="F36" i="30"/>
  <c r="J57" i="30"/>
  <c r="L64" i="15" s="1"/>
  <c r="Q73" i="28" s="1"/>
  <c r="F28" i="30"/>
  <c r="F21" i="30"/>
  <c r="H16" i="30"/>
  <c r="I15" i="15" s="1"/>
  <c r="K18" i="28" s="1"/>
  <c r="I41" i="30"/>
  <c r="J48" i="15" s="1"/>
  <c r="L57" i="28" s="1"/>
  <c r="N31" i="30"/>
  <c r="H9" i="30"/>
  <c r="I8" i="15" s="1"/>
  <c r="K11" i="28" s="1"/>
  <c r="G57" i="30"/>
  <c r="H64" i="15" s="1"/>
  <c r="P73" i="28" s="1"/>
  <c r="I48" i="30"/>
  <c r="J55" i="15" s="1"/>
  <c r="L64" i="28" s="1"/>
  <c r="F26" i="30"/>
  <c r="H11" i="30"/>
  <c r="I10" i="15" s="1"/>
  <c r="K13" i="28" s="1"/>
  <c r="G15" i="30"/>
  <c r="H14" i="15" s="1"/>
  <c r="P17" i="28" s="1"/>
  <c r="J49" i="30"/>
  <c r="L56" i="15" s="1"/>
  <c r="Q65" i="28" s="1"/>
  <c r="J53" i="30"/>
  <c r="L60" i="15" s="1"/>
  <c r="Q69" i="28" s="1"/>
  <c r="I37" i="30"/>
  <c r="J44" i="15" s="1"/>
  <c r="L53" i="28" s="1"/>
  <c r="N37" i="30"/>
  <c r="M28" i="30"/>
  <c r="E27" i="15" s="1"/>
  <c r="M45" i="30"/>
  <c r="E52" i="15" s="1"/>
  <c r="F53" i="30"/>
  <c r="J29" i="30"/>
  <c r="L28" i="15" s="1"/>
  <c r="Q31" i="28" s="1"/>
  <c r="I44" i="30"/>
  <c r="J51" i="15" s="1"/>
  <c r="L60" i="28" s="1"/>
  <c r="M54" i="30"/>
  <c r="E61" i="15" s="1"/>
  <c r="M56" i="30"/>
  <c r="E63" i="15" s="1"/>
  <c r="J52" i="30"/>
  <c r="L59" i="15" s="1"/>
  <c r="Q68" i="28" s="1"/>
  <c r="M16" i="30"/>
  <c r="E15" i="15" s="1"/>
  <c r="G33" i="30"/>
  <c r="H32" i="15" s="1"/>
  <c r="P35" i="28" s="1"/>
  <c r="G54" i="30"/>
  <c r="H61" i="15" s="1"/>
  <c r="P70" i="28" s="1"/>
  <c r="F46" i="30"/>
  <c r="J30" i="30"/>
  <c r="L29" i="15" s="1"/>
  <c r="Q32" i="28" s="1"/>
  <c r="I46" i="30"/>
  <c r="J53" i="15" s="1"/>
  <c r="L62" i="28" s="1"/>
  <c r="N16" i="30"/>
  <c r="F14" i="30"/>
  <c r="G51" i="30"/>
  <c r="H58" i="15" s="1"/>
  <c r="P67" i="28" s="1"/>
  <c r="N45" i="30"/>
  <c r="F24" i="30"/>
  <c r="J21" i="30"/>
  <c r="L20" i="15" s="1"/>
  <c r="Q23" i="28" s="1"/>
  <c r="H54" i="30"/>
  <c r="I61" i="15" s="1"/>
  <c r="K70" i="28" s="1"/>
  <c r="I22" i="30"/>
  <c r="J21" i="15" s="1"/>
  <c r="L24" i="28" s="1"/>
  <c r="M52" i="30"/>
  <c r="E59" i="15" s="1"/>
  <c r="J11" i="30"/>
  <c r="L10" i="15" s="1"/>
  <c r="Q13" i="28" s="1"/>
  <c r="F44" i="30"/>
  <c r="M46" i="30"/>
  <c r="E53" i="15" s="1"/>
  <c r="G42" i="30"/>
  <c r="H49" i="15" s="1"/>
  <c r="P58" i="28" s="1"/>
  <c r="F9" i="30"/>
  <c r="G40" i="30"/>
  <c r="H47" i="15" s="1"/>
  <c r="P56" i="28" s="1"/>
  <c r="N27" i="30"/>
  <c r="H48" i="30"/>
  <c r="I55" i="15" s="1"/>
  <c r="K64" i="28" s="1"/>
  <c r="M42" i="30"/>
  <c r="E49" i="15" s="1"/>
  <c r="J14" i="30"/>
  <c r="L13" i="15" s="1"/>
  <c r="Q16" i="28" s="1"/>
  <c r="J13" i="30"/>
  <c r="L12" i="15" s="1"/>
  <c r="Q15" i="28" s="1"/>
  <c r="M31" i="30"/>
  <c r="E30" i="15" s="1"/>
  <c r="I42" i="30"/>
  <c r="J49" i="15" s="1"/>
  <c r="L58" i="28" s="1"/>
  <c r="G19" i="30"/>
  <c r="H18" i="15" s="1"/>
  <c r="P21" i="28" s="1"/>
  <c r="I40" i="30"/>
  <c r="J47" i="15" s="1"/>
  <c r="L56" i="28" s="1"/>
  <c r="J22" i="30"/>
  <c r="L21" i="15" s="1"/>
  <c r="Q24" i="28" s="1"/>
  <c r="N32" i="30"/>
  <c r="N33" i="30"/>
  <c r="F56" i="30"/>
  <c r="H25" i="30"/>
  <c r="I24" i="15" s="1"/>
  <c r="K27" i="28" s="1"/>
  <c r="I52" i="30"/>
  <c r="J59" i="15" s="1"/>
  <c r="L68" i="28" s="1"/>
  <c r="M26" i="30"/>
  <c r="E25" i="15" s="1"/>
  <c r="J47" i="30"/>
  <c r="L54" i="15" s="1"/>
  <c r="Q63" i="28" s="1"/>
  <c r="I28" i="30"/>
  <c r="J27" i="15" s="1"/>
  <c r="L30" i="28" s="1"/>
  <c r="G14" i="30"/>
  <c r="H13" i="15" s="1"/>
  <c r="P16" i="28" s="1"/>
  <c r="J9" i="30"/>
  <c r="L8" i="15" s="1"/>
  <c r="Q11" i="28" s="1"/>
  <c r="H43" i="30"/>
  <c r="I50" i="15" s="1"/>
  <c r="K59" i="28" s="1"/>
  <c r="K67" i="27"/>
  <c r="L67" i="27" s="1"/>
  <c r="N27" i="27"/>
  <c r="K60" i="27"/>
  <c r="L60" i="27" s="1"/>
  <c r="C137" i="18" l="1"/>
  <c r="C139" i="18"/>
  <c r="C104" i="18"/>
  <c r="C105" i="18" s="1"/>
  <c r="C43" i="16" s="1"/>
  <c r="C142" i="18"/>
  <c r="C58" i="16"/>
  <c r="B56" i="20" s="1"/>
  <c r="F7" i="15"/>
  <c r="E4" i="17"/>
  <c r="F8" i="18" s="1"/>
  <c r="F9" i="18" s="1"/>
  <c r="F6" i="16" s="1"/>
  <c r="K7" i="15"/>
  <c r="K64" i="15"/>
  <c r="M73" i="28" s="1"/>
  <c r="N73" i="28" s="1"/>
  <c r="E53" i="17"/>
  <c r="F184" i="18" s="1"/>
  <c r="F185" i="18" s="1"/>
  <c r="F77" i="16" s="1"/>
  <c r="K58" i="15"/>
  <c r="M67" i="28" s="1"/>
  <c r="N67" i="28" s="1"/>
  <c r="E47" i="17"/>
  <c r="F43" i="15"/>
  <c r="E32" i="17"/>
  <c r="F108" i="18" s="1"/>
  <c r="F109" i="18" s="1"/>
  <c r="F47" i="16" s="1"/>
  <c r="K43" i="15"/>
  <c r="M52" i="28" s="1"/>
  <c r="N52" i="28" s="1"/>
  <c r="K45" i="15"/>
  <c r="M54" i="28" s="1"/>
  <c r="N54" i="28" s="1"/>
  <c r="E34" i="17"/>
  <c r="E46" i="17"/>
  <c r="K57" i="15"/>
  <c r="E16" i="17"/>
  <c r="K19" i="15"/>
  <c r="E8" i="17"/>
  <c r="K11" i="15"/>
  <c r="F21" i="15"/>
  <c r="E18" i="17"/>
  <c r="F66" i="18" s="1"/>
  <c r="F67" i="18" s="1"/>
  <c r="F30" i="16" s="1"/>
  <c r="K21" i="15"/>
  <c r="M24" i="28" s="1"/>
  <c r="N24" i="28" s="1"/>
  <c r="E45" i="17"/>
  <c r="F155" i="18" s="1"/>
  <c r="F156" i="18" s="1"/>
  <c r="F65" i="16" s="1"/>
  <c r="K56" i="15"/>
  <c r="M65" i="28" s="1"/>
  <c r="N65" i="28" s="1"/>
  <c r="K50" i="15"/>
  <c r="M59" i="28" s="1"/>
  <c r="N59" i="28" s="1"/>
  <c r="E39" i="17"/>
  <c r="F46" i="15"/>
  <c r="E35" i="17"/>
  <c r="K46" i="15"/>
  <c r="K29" i="15"/>
  <c r="E26" i="17"/>
  <c r="E44" i="17"/>
  <c r="F152" i="18" s="1"/>
  <c r="F153" i="18" s="1"/>
  <c r="F64" i="16" s="1"/>
  <c r="K55" i="15"/>
  <c r="M64" i="28" s="1"/>
  <c r="N64" i="28" s="1"/>
  <c r="F52" i="15"/>
  <c r="K52" i="15"/>
  <c r="M61" i="28" s="1"/>
  <c r="N61" i="28" s="1"/>
  <c r="E41" i="17"/>
  <c r="F142" i="18" s="1"/>
  <c r="F143" i="18" s="1"/>
  <c r="F61" i="16" s="1"/>
  <c r="K24" i="15"/>
  <c r="M27" i="28" s="1"/>
  <c r="N27" i="28" s="1"/>
  <c r="E21" i="17"/>
  <c r="F75" i="18" s="1"/>
  <c r="F76" i="18" s="1"/>
  <c r="F33" i="16" s="1"/>
  <c r="F53" i="15"/>
  <c r="E42" i="17"/>
  <c r="K53" i="15"/>
  <c r="M62" i="28" s="1"/>
  <c r="N62" i="28" s="1"/>
  <c r="F9" i="15"/>
  <c r="K9" i="15"/>
  <c r="M12" i="28" s="1"/>
  <c r="N12" i="28" s="1"/>
  <c r="E6" i="17"/>
  <c r="E23" i="17"/>
  <c r="F81" i="18" s="1"/>
  <c r="F82" i="18" s="1"/>
  <c r="F35" i="16" s="1"/>
  <c r="K26" i="15"/>
  <c r="M29" i="28" s="1"/>
  <c r="N29" i="28" s="1"/>
  <c r="F32" i="15"/>
  <c r="E29" i="17"/>
  <c r="F101" i="18" s="1"/>
  <c r="F102" i="18" s="1"/>
  <c r="F42" i="16" s="1"/>
  <c r="K32" i="15"/>
  <c r="M35" i="28" s="1"/>
  <c r="N35" i="28" s="1"/>
  <c r="K48" i="15"/>
  <c r="M57" i="28" s="1"/>
  <c r="N57" i="28" s="1"/>
  <c r="E37" i="17"/>
  <c r="F127" i="18" s="1"/>
  <c r="F128" i="18" s="1"/>
  <c r="F54" i="16" s="1"/>
  <c r="K28" i="15"/>
  <c r="E25" i="17"/>
  <c r="K59" i="15"/>
  <c r="E48" i="17"/>
  <c r="F167" i="18" s="1"/>
  <c r="F168" i="18" s="1"/>
  <c r="F71" i="16" s="1"/>
  <c r="E38" i="17"/>
  <c r="F130" i="18" s="1"/>
  <c r="F131" i="18" s="1"/>
  <c r="F55" i="16" s="1"/>
  <c r="K49" i="15"/>
  <c r="M58" i="28" s="1"/>
  <c r="N58" i="28" s="1"/>
  <c r="E49" i="17"/>
  <c r="F170" i="18" s="1"/>
  <c r="F171" i="18" s="1"/>
  <c r="F72" i="16" s="1"/>
  <c r="K60" i="15"/>
  <c r="M69" i="28" s="1"/>
  <c r="N69" i="28" s="1"/>
  <c r="E43" i="17"/>
  <c r="F149" i="18" s="1"/>
  <c r="F150" i="18" s="1"/>
  <c r="F63" i="16" s="1"/>
  <c r="K54" i="15"/>
  <c r="M63" i="28" s="1"/>
  <c r="N63" i="28" s="1"/>
  <c r="K17" i="15"/>
  <c r="M20" i="28" s="1"/>
  <c r="N20" i="28" s="1"/>
  <c r="E14" i="17"/>
  <c r="E15" i="17"/>
  <c r="K18" i="15"/>
  <c r="M21" i="28" s="1"/>
  <c r="N21" i="28" s="1"/>
  <c r="E28" i="17"/>
  <c r="K31" i="15"/>
  <c r="M34" i="28" s="1"/>
  <c r="N34" i="28" s="1"/>
  <c r="E27" i="17"/>
  <c r="F94" i="18" s="1"/>
  <c r="F95" i="18" s="1"/>
  <c r="F39" i="16" s="1"/>
  <c r="K30" i="15"/>
  <c r="M33" i="28" s="1"/>
  <c r="N33" i="28" s="1"/>
  <c r="K51" i="15"/>
  <c r="M60" i="28" s="1"/>
  <c r="N60" i="28" s="1"/>
  <c r="E40" i="17"/>
  <c r="F139" i="18" s="1"/>
  <c r="F60" i="16" s="1"/>
  <c r="F13" i="15"/>
  <c r="K13" i="15"/>
  <c r="M16" i="28" s="1"/>
  <c r="N16" i="28" s="1"/>
  <c r="E10" i="17"/>
  <c r="F27" i="15"/>
  <c r="K27" i="15"/>
  <c r="E24" i="17"/>
  <c r="F84" i="18" s="1"/>
  <c r="F85" i="18" s="1"/>
  <c r="F36" i="16" s="1"/>
  <c r="E7" i="17"/>
  <c r="K10" i="15"/>
  <c r="M13" i="28" s="1"/>
  <c r="N13" i="28" s="1"/>
  <c r="K16" i="15"/>
  <c r="M19" i="28" s="1"/>
  <c r="N19" i="28" s="1"/>
  <c r="E13" i="17"/>
  <c r="F46" i="18" s="1"/>
  <c r="F21" i="16" s="1"/>
  <c r="E5" i="17"/>
  <c r="F11" i="18" s="1"/>
  <c r="F12" i="18" s="1"/>
  <c r="F7" i="16" s="1"/>
  <c r="K8" i="15"/>
  <c r="M11" i="28" s="1"/>
  <c r="N11" i="28" s="1"/>
  <c r="E52" i="17"/>
  <c r="F181" i="18" s="1"/>
  <c r="K63" i="15"/>
  <c r="M72" i="28" s="1"/>
  <c r="N72" i="28" s="1"/>
  <c r="E19" i="17"/>
  <c r="F69" i="18" s="1"/>
  <c r="F70" i="18" s="1"/>
  <c r="F31" i="16" s="1"/>
  <c r="B299" i="20" s="1"/>
  <c r="K22" i="15"/>
  <c r="K23" i="15"/>
  <c r="M26" i="28" s="1"/>
  <c r="N26" i="28" s="1"/>
  <c r="E20" i="17"/>
  <c r="F72" i="18" s="1"/>
  <c r="F73" i="18" s="1"/>
  <c r="F32" i="16" s="1"/>
  <c r="E17" i="17"/>
  <c r="K20" i="15"/>
  <c r="M23" i="28" s="1"/>
  <c r="N23" i="28" s="1"/>
  <c r="E51" i="17"/>
  <c r="K62" i="15"/>
  <c r="M71" i="28" s="1"/>
  <c r="N71" i="28" s="1"/>
  <c r="K15" i="15"/>
  <c r="M18" i="28" s="1"/>
  <c r="N18" i="28" s="1"/>
  <c r="E12" i="17"/>
  <c r="F43" i="18" s="1"/>
  <c r="F44" i="18" s="1"/>
  <c r="F20" i="16" s="1"/>
  <c r="E9" i="17"/>
  <c r="F25" i="18" s="1"/>
  <c r="F26" i="18" s="1"/>
  <c r="F13" i="16" s="1"/>
  <c r="K12" i="15"/>
  <c r="M15" i="28" s="1"/>
  <c r="N15" i="28" s="1"/>
  <c r="E3" i="17"/>
  <c r="K6" i="15"/>
  <c r="E22" i="17"/>
  <c r="F78" i="18" s="1"/>
  <c r="F79" i="18" s="1"/>
  <c r="F34" i="16" s="1"/>
  <c r="K25" i="15"/>
  <c r="K44" i="15"/>
  <c r="M53" i="28" s="1"/>
  <c r="N53" i="28" s="1"/>
  <c r="E33" i="17"/>
  <c r="F111" i="18" s="1"/>
  <c r="F112" i="18" s="1"/>
  <c r="F48" i="16" s="1"/>
  <c r="F47" i="15"/>
  <c r="E36" i="17"/>
  <c r="F124" i="18" s="1"/>
  <c r="F125" i="18" s="1"/>
  <c r="F53" i="16" s="1"/>
  <c r="K47" i="15"/>
  <c r="M56" i="28" s="1"/>
  <c r="N56" i="28" s="1"/>
  <c r="E50" i="17"/>
  <c r="F173" i="18" s="1"/>
  <c r="F174" i="18" s="1"/>
  <c r="F73" i="16" s="1"/>
  <c r="K61" i="15"/>
  <c r="M70" i="28" s="1"/>
  <c r="N70" i="28" s="1"/>
  <c r="E11" i="17"/>
  <c r="F40" i="18" s="1"/>
  <c r="F41" i="18" s="1"/>
  <c r="F19" i="16" s="1"/>
  <c r="K14" i="15"/>
  <c r="M17" i="28" s="1"/>
  <c r="N17" i="28" s="1"/>
  <c r="M25" i="28"/>
  <c r="E22" i="15"/>
  <c r="E65" i="15" s="1"/>
  <c r="F50" i="15"/>
  <c r="F24" i="15"/>
  <c r="F28" i="15"/>
  <c r="F19" i="15"/>
  <c r="F60" i="15"/>
  <c r="F30" i="15"/>
  <c r="F10" i="15"/>
  <c r="F16" i="15"/>
  <c r="C13" i="31"/>
  <c r="D10" i="17"/>
  <c r="O16" i="27"/>
  <c r="P16" i="27" s="1"/>
  <c r="O74" i="27"/>
  <c r="P74" i="27" s="1"/>
  <c r="D53" i="17"/>
  <c r="E184" i="18" s="1"/>
  <c r="E185" i="18" s="1"/>
  <c r="E77" i="16" s="1"/>
  <c r="F64" i="15"/>
  <c r="O68" i="27"/>
  <c r="P68" i="27" s="1"/>
  <c r="D47" i="17"/>
  <c r="F58" i="15"/>
  <c r="O35" i="27"/>
  <c r="P35" i="27" s="1"/>
  <c r="S35" i="27" s="1"/>
  <c r="D29" i="17"/>
  <c r="E101" i="18" s="1"/>
  <c r="E102" i="18" s="1"/>
  <c r="E42" i="16" s="1"/>
  <c r="O55" i="27"/>
  <c r="P55" i="27" s="1"/>
  <c r="S55" i="27" s="1"/>
  <c r="D34" i="17"/>
  <c r="O66" i="27"/>
  <c r="P66" i="27" s="1"/>
  <c r="D45" i="17"/>
  <c r="E155" i="18" s="1"/>
  <c r="E156" i="18" s="1"/>
  <c r="E65" i="16" s="1"/>
  <c r="F56" i="15"/>
  <c r="D35" i="17"/>
  <c r="O56" i="27"/>
  <c r="P56" i="27" s="1"/>
  <c r="S56" i="27" s="1"/>
  <c r="O18" i="27"/>
  <c r="P18" i="27" s="1"/>
  <c r="D12" i="17"/>
  <c r="E43" i="18" s="1"/>
  <c r="E44" i="18" s="1"/>
  <c r="E20" i="16" s="1"/>
  <c r="F15" i="15"/>
  <c r="D21" i="17"/>
  <c r="E75" i="18" s="1"/>
  <c r="E76" i="18" s="1"/>
  <c r="E33" i="16" s="1"/>
  <c r="O27" i="27"/>
  <c r="P27" i="27" s="1"/>
  <c r="D42" i="17"/>
  <c r="E145" i="18" s="1"/>
  <c r="E146" i="18" s="1"/>
  <c r="E62" i="16" s="1"/>
  <c r="O63" i="27"/>
  <c r="P63" i="27" s="1"/>
  <c r="S63" i="27" s="1"/>
  <c r="O32" i="27"/>
  <c r="P32" i="27" s="1"/>
  <c r="D26" i="17"/>
  <c r="E91" i="18" s="1"/>
  <c r="E92" i="18" s="1"/>
  <c r="E38" i="16" s="1"/>
  <c r="F29" i="15"/>
  <c r="F45" i="15"/>
  <c r="O72" i="27"/>
  <c r="P72" i="27" s="1"/>
  <c r="D51" i="17"/>
  <c r="F62" i="15"/>
  <c r="O20" i="27"/>
  <c r="P20" i="27" s="1"/>
  <c r="S20" i="27" s="1"/>
  <c r="D14" i="17"/>
  <c r="D20" i="17"/>
  <c r="E72" i="18" s="1"/>
  <c r="E73" i="18" s="1"/>
  <c r="E32" i="16" s="1"/>
  <c r="O26" i="27"/>
  <c r="P26" i="27" s="1"/>
  <c r="F23" i="15"/>
  <c r="F17" i="15"/>
  <c r="D50" i="17"/>
  <c r="E173" i="18" s="1"/>
  <c r="E174" i="18" s="1"/>
  <c r="E73" i="16" s="1"/>
  <c r="O71" i="27"/>
  <c r="P71" i="27" s="1"/>
  <c r="F61" i="15"/>
  <c r="D44" i="17"/>
  <c r="E152" i="18" s="1"/>
  <c r="E153" i="18" s="1"/>
  <c r="E64" i="16" s="1"/>
  <c r="O65" i="27"/>
  <c r="P65" i="27" s="1"/>
  <c r="O67" i="27"/>
  <c r="P67" i="27" s="1"/>
  <c r="S67" i="27" s="1"/>
  <c r="D46" i="17"/>
  <c r="O21" i="27"/>
  <c r="P21" i="27" s="1"/>
  <c r="S21" i="27" s="1"/>
  <c r="D15" i="17"/>
  <c r="O30" i="27"/>
  <c r="P30" i="27" s="1"/>
  <c r="S30" i="27" s="1"/>
  <c r="D24" i="17"/>
  <c r="E84" i="18" s="1"/>
  <c r="E85" i="18" s="1"/>
  <c r="E36" i="16" s="1"/>
  <c r="D25" i="17"/>
  <c r="E87" i="18" s="1"/>
  <c r="E88" i="18" s="1"/>
  <c r="E37" i="16" s="1"/>
  <c r="O31" i="27"/>
  <c r="P31" i="27" s="1"/>
  <c r="S31" i="27" s="1"/>
  <c r="D9" i="17"/>
  <c r="E25" i="18" s="1"/>
  <c r="E26" i="18" s="1"/>
  <c r="E13" i="16" s="1"/>
  <c r="O15" i="27"/>
  <c r="P15" i="27" s="1"/>
  <c r="S15" i="27" s="1"/>
  <c r="O58" i="27"/>
  <c r="P58" i="27" s="1"/>
  <c r="D37" i="17"/>
  <c r="E127" i="18" s="1"/>
  <c r="E128" i="18" s="1"/>
  <c r="E54" i="16" s="1"/>
  <c r="F48" i="15"/>
  <c r="O14" i="27"/>
  <c r="P14" i="27" s="1"/>
  <c r="Q14" i="27" s="1"/>
  <c r="D8" i="17"/>
  <c r="E22" i="18" s="1"/>
  <c r="E23" i="18" s="1"/>
  <c r="E12" i="16" s="1"/>
  <c r="F11" i="15"/>
  <c r="F12" i="15"/>
  <c r="O12" i="27"/>
  <c r="P12" i="27" s="1"/>
  <c r="S12" i="27" s="1"/>
  <c r="D6" i="17"/>
  <c r="O70" i="27"/>
  <c r="P70" i="27" s="1"/>
  <c r="S70" i="27" s="1"/>
  <c r="D49" i="17"/>
  <c r="E170" i="18" s="1"/>
  <c r="E171" i="18" s="1"/>
  <c r="E72" i="16" s="1"/>
  <c r="O17" i="27"/>
  <c r="P17" i="27" s="1"/>
  <c r="D11" i="17"/>
  <c r="E40" i="18" s="1"/>
  <c r="E41" i="18" s="1"/>
  <c r="E19" i="16" s="1"/>
  <c r="F14" i="15"/>
  <c r="D23" i="17"/>
  <c r="E81" i="18" s="1"/>
  <c r="E82" i="18" s="1"/>
  <c r="E35" i="16" s="1"/>
  <c r="O29" i="27"/>
  <c r="P29" i="27" s="1"/>
  <c r="F26" i="15"/>
  <c r="O33" i="27"/>
  <c r="P33" i="27" s="1"/>
  <c r="S33" i="27" s="1"/>
  <c r="D27" i="17"/>
  <c r="E94" i="18" s="1"/>
  <c r="E95" i="18" s="1"/>
  <c r="E39" i="16" s="1"/>
  <c r="F18" i="15"/>
  <c r="D7" i="17"/>
  <c r="O13" i="27"/>
  <c r="P13" i="27" s="1"/>
  <c r="S13" i="27" s="1"/>
  <c r="O10" i="27"/>
  <c r="P10" i="27" s="1"/>
  <c r="S10" i="27" s="1"/>
  <c r="D4" i="17"/>
  <c r="E8" i="18" s="1"/>
  <c r="E9" i="18" s="1"/>
  <c r="E6" i="16" s="1"/>
  <c r="D18" i="17"/>
  <c r="E66" i="18" s="1"/>
  <c r="E67" i="18" s="1"/>
  <c r="E30" i="16" s="1"/>
  <c r="O24" i="27"/>
  <c r="P24" i="27" s="1"/>
  <c r="S24" i="27" s="1"/>
  <c r="D13" i="17"/>
  <c r="E46" i="18" s="1"/>
  <c r="O19" i="27"/>
  <c r="P19" i="27" s="1"/>
  <c r="O73" i="27"/>
  <c r="P73" i="27" s="1"/>
  <c r="D52" i="17"/>
  <c r="E181" i="18" s="1"/>
  <c r="F63" i="15"/>
  <c r="D40" i="17"/>
  <c r="E139" i="18" s="1"/>
  <c r="E60" i="16" s="1"/>
  <c r="O61" i="27"/>
  <c r="P61" i="27" s="1"/>
  <c r="O62" i="27"/>
  <c r="P62" i="27" s="1"/>
  <c r="S62" i="27" s="1"/>
  <c r="D41" i="17"/>
  <c r="E142" i="18" s="1"/>
  <c r="E143" i="18" s="1"/>
  <c r="E61" i="16" s="1"/>
  <c r="O53" i="27"/>
  <c r="D32" i="17"/>
  <c r="E108" i="18" s="1"/>
  <c r="E109" i="18" s="1"/>
  <c r="E47" i="16" s="1"/>
  <c r="O64" i="27"/>
  <c r="P64" i="27" s="1"/>
  <c r="D43" i="17"/>
  <c r="E149" i="18" s="1"/>
  <c r="E150" i="18" s="1"/>
  <c r="E63" i="16" s="1"/>
  <c r="F54" i="15"/>
  <c r="D28" i="17"/>
  <c r="O34" i="27"/>
  <c r="P34" i="27" s="1"/>
  <c r="F31" i="15"/>
  <c r="D39" i="17"/>
  <c r="O60" i="27"/>
  <c r="P60" i="27" s="1"/>
  <c r="S60" i="27" s="1"/>
  <c r="O11" i="27"/>
  <c r="P11" i="27" s="1"/>
  <c r="D5" i="17"/>
  <c r="E11" i="18" s="1"/>
  <c r="E12" i="18" s="1"/>
  <c r="E7" i="16" s="1"/>
  <c r="F8" i="15"/>
  <c r="F57" i="15"/>
  <c r="O23" i="27"/>
  <c r="P23" i="27" s="1"/>
  <c r="D17" i="17"/>
  <c r="F20" i="15"/>
  <c r="O22" i="27"/>
  <c r="P22" i="27" s="1"/>
  <c r="S22" i="27" s="1"/>
  <c r="D16" i="17"/>
  <c r="O54" i="27"/>
  <c r="P54" i="27" s="1"/>
  <c r="D33" i="17"/>
  <c r="E111" i="18" s="1"/>
  <c r="E112" i="18" s="1"/>
  <c r="E48" i="16" s="1"/>
  <c r="F44" i="15"/>
  <c r="D3" i="17"/>
  <c r="O9" i="27"/>
  <c r="F6" i="15"/>
  <c r="D48" i="17"/>
  <c r="E167" i="18" s="1"/>
  <c r="E168" i="18" s="1"/>
  <c r="E71" i="16" s="1"/>
  <c r="O69" i="27"/>
  <c r="P69" i="27" s="1"/>
  <c r="F59" i="15"/>
  <c r="O59" i="27"/>
  <c r="P59" i="27" s="1"/>
  <c r="D38" i="17"/>
  <c r="E130" i="18" s="1"/>
  <c r="E131" i="18" s="1"/>
  <c r="E55" i="16" s="1"/>
  <c r="F49" i="15"/>
  <c r="F55" i="15"/>
  <c r="D19" i="17"/>
  <c r="E69" i="18" s="1"/>
  <c r="E70" i="18" s="1"/>
  <c r="E31" i="16" s="1"/>
  <c r="O57" i="27"/>
  <c r="P57" i="27" s="1"/>
  <c r="S57" i="27" s="1"/>
  <c r="D36" i="17"/>
  <c r="E124" i="18" s="1"/>
  <c r="E125" i="18" s="1"/>
  <c r="E53" i="16" s="1"/>
  <c r="D22" i="17"/>
  <c r="E78" i="18" s="1"/>
  <c r="E79" i="18" s="1"/>
  <c r="E34" i="16" s="1"/>
  <c r="O28" i="27"/>
  <c r="P28" i="27" s="1"/>
  <c r="S28" i="27" s="1"/>
  <c r="F25" i="15"/>
  <c r="F51" i="15"/>
  <c r="J76" i="28"/>
  <c r="C47" i="18"/>
  <c r="C21" i="16"/>
  <c r="D9" i="31"/>
  <c r="D13" i="31" s="1"/>
  <c r="B13" i="31"/>
  <c r="I76" i="27"/>
  <c r="C177" i="18"/>
  <c r="C74" i="16" s="1"/>
  <c r="B73" i="20" s="1"/>
  <c r="C182" i="18"/>
  <c r="B38" i="20"/>
  <c r="J38" i="20" s="1"/>
  <c r="C22" i="18"/>
  <c r="D71" i="20"/>
  <c r="C159" i="18"/>
  <c r="C160" i="18" s="1"/>
  <c r="C134" i="18"/>
  <c r="C57" i="16" s="1"/>
  <c r="B55" i="20" s="1"/>
  <c r="J55" i="20" s="1"/>
  <c r="J58" i="23"/>
  <c r="C63" i="18"/>
  <c r="C64" i="18" s="1"/>
  <c r="J38" i="23"/>
  <c r="F71" i="20"/>
  <c r="B61" i="20"/>
  <c r="D61" i="20" s="1"/>
  <c r="C50" i="18"/>
  <c r="C23" i="16" s="1"/>
  <c r="B76" i="20"/>
  <c r="F76" i="20" s="1"/>
  <c r="H71" i="20"/>
  <c r="B32" i="20"/>
  <c r="D32" i="20" s="1"/>
  <c r="J75" i="23"/>
  <c r="C54" i="18"/>
  <c r="C55" i="18" s="1"/>
  <c r="C57" i="18"/>
  <c r="C59" i="18" s="1"/>
  <c r="C115" i="18"/>
  <c r="C50" i="16" s="1"/>
  <c r="C18" i="18"/>
  <c r="C10" i="16" s="1"/>
  <c r="C138" i="18"/>
  <c r="C59" i="16" s="1"/>
  <c r="J62" i="23" s="1"/>
  <c r="C97" i="18"/>
  <c r="C99" i="18" s="1"/>
  <c r="B54" i="20"/>
  <c r="J59" i="23"/>
  <c r="N25" i="28"/>
  <c r="T25" i="28" s="1"/>
  <c r="C121" i="18"/>
  <c r="C52" i="16" s="1"/>
  <c r="C162" i="18"/>
  <c r="C68" i="16" s="1"/>
  <c r="C163" i="18"/>
  <c r="C69" i="16" s="1"/>
  <c r="F53" i="20"/>
  <c r="J53" i="20"/>
  <c r="H53" i="20"/>
  <c r="H35" i="20"/>
  <c r="J35" i="20"/>
  <c r="C36" i="18"/>
  <c r="C17" i="16" s="1"/>
  <c r="C35" i="18"/>
  <c r="C16" i="16" s="1"/>
  <c r="C34" i="18"/>
  <c r="C15" i="16" s="1"/>
  <c r="C33" i="18"/>
  <c r="F35" i="20"/>
  <c r="C14" i="18"/>
  <c r="C8" i="16" s="1"/>
  <c r="K57" i="29"/>
  <c r="K58" i="29" s="1"/>
  <c r="G60" i="15"/>
  <c r="G15" i="15"/>
  <c r="J58" i="30"/>
  <c r="L6" i="15"/>
  <c r="L10" i="27"/>
  <c r="R70" i="27"/>
  <c r="R21" i="27"/>
  <c r="G8" i="15"/>
  <c r="G13" i="15"/>
  <c r="G25" i="15"/>
  <c r="G49" i="15"/>
  <c r="G12" i="15"/>
  <c r="G46" i="15"/>
  <c r="G58" i="30"/>
  <c r="H6" i="15"/>
  <c r="B37" i="20"/>
  <c r="J40" i="23"/>
  <c r="C156" i="18"/>
  <c r="C65" i="16" s="1"/>
  <c r="C41" i="16"/>
  <c r="C79" i="18"/>
  <c r="C34" i="16" s="1"/>
  <c r="C112" i="18"/>
  <c r="C48" i="16" s="1"/>
  <c r="G50" i="15"/>
  <c r="G9" i="15"/>
  <c r="G14" i="15"/>
  <c r="G17" i="15"/>
  <c r="M10" i="28"/>
  <c r="N10" i="28" s="1"/>
  <c r="C146" i="18"/>
  <c r="C62" i="16" s="1"/>
  <c r="B75" i="20"/>
  <c r="J79" i="23"/>
  <c r="C76" i="18"/>
  <c r="C33" i="16" s="1"/>
  <c r="C27" i="16"/>
  <c r="C70" i="18"/>
  <c r="C31" i="16" s="1"/>
  <c r="F145" i="18"/>
  <c r="F146" i="18" s="1"/>
  <c r="F62" i="16" s="1"/>
  <c r="F58" i="30"/>
  <c r="K23" i="30" s="1"/>
  <c r="G6" i="15"/>
  <c r="G54" i="15"/>
  <c r="C24" i="16"/>
  <c r="C66" i="16"/>
  <c r="P74" i="28"/>
  <c r="R24" i="27"/>
  <c r="N58" i="30"/>
  <c r="G47" i="15"/>
  <c r="M66" i="28"/>
  <c r="N66" i="28" s="1"/>
  <c r="R33" i="27"/>
  <c r="R12" i="27"/>
  <c r="M68" i="28"/>
  <c r="N68" i="28" s="1"/>
  <c r="M32" i="28"/>
  <c r="N32" i="28" s="1"/>
  <c r="F91" i="18"/>
  <c r="F92" i="18" s="1"/>
  <c r="F38" i="16" s="1"/>
  <c r="G29" i="15"/>
  <c r="C174" i="18"/>
  <c r="C73" i="16" s="1"/>
  <c r="B72" i="20" s="1"/>
  <c r="C49" i="16"/>
  <c r="C9" i="18"/>
  <c r="C6" i="16" s="1"/>
  <c r="L53" i="27"/>
  <c r="C70" i="16"/>
  <c r="C51" i="16"/>
  <c r="I58" i="30"/>
  <c r="J6" i="15"/>
  <c r="G64" i="15"/>
  <c r="H58" i="30"/>
  <c r="I6" i="15"/>
  <c r="G26" i="15"/>
  <c r="C128" i="18"/>
  <c r="C54" i="16" s="1"/>
  <c r="C102" i="18"/>
  <c r="C42" i="16" s="1"/>
  <c r="C11" i="16"/>
  <c r="G56" i="15"/>
  <c r="G7" i="15"/>
  <c r="C44" i="18"/>
  <c r="C20" i="16" s="1"/>
  <c r="R55" i="27"/>
  <c r="G44" i="15"/>
  <c r="G18" i="15"/>
  <c r="G55" i="15"/>
  <c r="G16" i="15"/>
  <c r="G45" i="15"/>
  <c r="R28" i="27"/>
  <c r="C109" i="18"/>
  <c r="C47" i="16" s="1"/>
  <c r="C67" i="18"/>
  <c r="C30" i="16" s="1"/>
  <c r="R35" i="27"/>
  <c r="C22" i="16"/>
  <c r="C12" i="18"/>
  <c r="C7" i="16" s="1"/>
  <c r="M30" i="28"/>
  <c r="N30" i="28" s="1"/>
  <c r="G48" i="15"/>
  <c r="R56" i="27"/>
  <c r="K74" i="28"/>
  <c r="G30" i="15"/>
  <c r="B54" i="17"/>
  <c r="C5" i="18"/>
  <c r="M28" i="28"/>
  <c r="N28" i="28" s="1"/>
  <c r="R67" i="27"/>
  <c r="G27" i="15"/>
  <c r="L74" i="28"/>
  <c r="G24" i="15"/>
  <c r="M55" i="28"/>
  <c r="N55" i="28" s="1"/>
  <c r="M75" i="27"/>
  <c r="R63" i="27"/>
  <c r="C143" i="18"/>
  <c r="C61" i="16" s="1"/>
  <c r="C9" i="16"/>
  <c r="R57" i="27"/>
  <c r="R13" i="27"/>
  <c r="G19" i="15"/>
  <c r="G23" i="15"/>
  <c r="G21" i="15"/>
  <c r="G10" i="15"/>
  <c r="G59" i="15"/>
  <c r="G57" i="15"/>
  <c r="G62" i="15"/>
  <c r="G32" i="15"/>
  <c r="C95" i="18"/>
  <c r="C39" i="16" s="1"/>
  <c r="C26" i="18"/>
  <c r="C13" i="16" s="1"/>
  <c r="J74" i="23"/>
  <c r="B70" i="20"/>
  <c r="G20" i="15"/>
  <c r="G63" i="15"/>
  <c r="G43" i="15"/>
  <c r="M31" i="28"/>
  <c r="N31" i="28" s="1"/>
  <c r="F87" i="18"/>
  <c r="F88" i="18" s="1"/>
  <c r="F37" i="16" s="1"/>
  <c r="Q74" i="28"/>
  <c r="G31" i="15"/>
  <c r="B18" i="20"/>
  <c r="J22" i="23"/>
  <c r="B62" i="20"/>
  <c r="J67" i="23"/>
  <c r="R22" i="27"/>
  <c r="R20" i="27"/>
  <c r="R30" i="27"/>
  <c r="C85" i="18"/>
  <c r="C36" i="16" s="1"/>
  <c r="R62" i="27"/>
  <c r="N75" i="27"/>
  <c r="G51" i="15"/>
  <c r="G61" i="15"/>
  <c r="C28" i="16"/>
  <c r="R60" i="27"/>
  <c r="G53" i="15"/>
  <c r="G52" i="15"/>
  <c r="G28" i="15"/>
  <c r="M22" i="28"/>
  <c r="N22" i="28" s="1"/>
  <c r="M58" i="30"/>
  <c r="G58" i="15"/>
  <c r="J78" i="23"/>
  <c r="B74" i="20"/>
  <c r="C125" i="18"/>
  <c r="C53" i="16" s="1"/>
  <c r="R15" i="27"/>
  <c r="C140" i="18" l="1"/>
  <c r="B43" i="20"/>
  <c r="J46" i="23"/>
  <c r="B237" i="20"/>
  <c r="L63" i="23"/>
  <c r="B327" i="20"/>
  <c r="M63" i="23"/>
  <c r="J61" i="23"/>
  <c r="H43" i="20"/>
  <c r="F43" i="20"/>
  <c r="D43" i="20"/>
  <c r="J43" i="20"/>
  <c r="C60" i="16"/>
  <c r="K34" i="30"/>
  <c r="L34" i="30" s="1"/>
  <c r="C30" i="17" s="1"/>
  <c r="F22" i="15"/>
  <c r="F65" i="15" s="1"/>
  <c r="O25" i="27"/>
  <c r="P25" i="27" s="1"/>
  <c r="Q25" i="27" s="1"/>
  <c r="T25" i="27" s="1"/>
  <c r="M14" i="28"/>
  <c r="N14" i="28" s="1"/>
  <c r="S14" i="28" s="1"/>
  <c r="N11" i="15"/>
  <c r="O11" i="15" s="1"/>
  <c r="Q28" i="27"/>
  <c r="T28" i="27" s="1"/>
  <c r="Q22" i="27"/>
  <c r="T22" i="27" s="1"/>
  <c r="Q57" i="27"/>
  <c r="T57" i="27" s="1"/>
  <c r="Q56" i="27"/>
  <c r="T56" i="27" s="1"/>
  <c r="Q13" i="27"/>
  <c r="T13" i="27" s="1"/>
  <c r="Q30" i="27"/>
  <c r="T30" i="27" s="1"/>
  <c r="Q33" i="27"/>
  <c r="T33" i="27" s="1"/>
  <c r="Q70" i="27"/>
  <c r="T70" i="27" s="1"/>
  <c r="Q20" i="27"/>
  <c r="T20" i="27" s="1"/>
  <c r="Q31" i="27"/>
  <c r="T31" i="27" s="1"/>
  <c r="Q63" i="27"/>
  <c r="T63" i="27" s="1"/>
  <c r="S19" i="27"/>
  <c r="Q19" i="27"/>
  <c r="T19" i="27" s="1"/>
  <c r="Q27" i="27"/>
  <c r="T27" i="27" s="1"/>
  <c r="S27" i="27"/>
  <c r="S65" i="27"/>
  <c r="Q65" i="27"/>
  <c r="T65" i="27" s="1"/>
  <c r="S16" i="27"/>
  <c r="Q16" i="27"/>
  <c r="T16" i="27" s="1"/>
  <c r="S26" i="27"/>
  <c r="Q26" i="27"/>
  <c r="T26" i="27" s="1"/>
  <c r="P9" i="27"/>
  <c r="E5" i="18"/>
  <c r="E6" i="18" s="1"/>
  <c r="D54" i="17"/>
  <c r="Q29" i="27"/>
  <c r="T29" i="27" s="1"/>
  <c r="S29" i="27"/>
  <c r="E159" i="18"/>
  <c r="E67" i="16" s="1"/>
  <c r="E158" i="18"/>
  <c r="E49" i="18"/>
  <c r="E50" i="18"/>
  <c r="E23" i="16" s="1"/>
  <c r="B212" i="20"/>
  <c r="L36" i="23"/>
  <c r="L56" i="23"/>
  <c r="B230" i="20"/>
  <c r="E47" i="18"/>
  <c r="E21" i="16"/>
  <c r="S11" i="27"/>
  <c r="Q11" i="27"/>
  <c r="T11" i="27" s="1"/>
  <c r="L38" i="23"/>
  <c r="B214" i="20"/>
  <c r="B184" i="20"/>
  <c r="L9" i="23"/>
  <c r="L23" i="23"/>
  <c r="B198" i="20"/>
  <c r="L64" i="23"/>
  <c r="B238" i="20"/>
  <c r="Q58" i="27"/>
  <c r="T58" i="27" s="1"/>
  <c r="S58" i="27"/>
  <c r="Q18" i="27"/>
  <c r="T18" i="27" s="1"/>
  <c r="S18" i="27"/>
  <c r="S72" i="27"/>
  <c r="Q72" i="27"/>
  <c r="T72" i="27" s="1"/>
  <c r="Q24" i="27"/>
  <c r="T24" i="27" s="1"/>
  <c r="G22" i="18"/>
  <c r="G23" i="18" s="1"/>
  <c r="L58" i="23"/>
  <c r="B232" i="20"/>
  <c r="E57" i="18"/>
  <c r="E58" i="18"/>
  <c r="E27" i="16" s="1"/>
  <c r="Q34" i="27"/>
  <c r="T34" i="27" s="1"/>
  <c r="S34" i="27"/>
  <c r="E18" i="18"/>
  <c r="E19" i="18"/>
  <c r="E11" i="16" s="1"/>
  <c r="L75" i="23"/>
  <c r="B250" i="20"/>
  <c r="B191" i="20"/>
  <c r="L16" i="23"/>
  <c r="S71" i="27"/>
  <c r="Q71" i="27"/>
  <c r="T71" i="27" s="1"/>
  <c r="E121" i="18"/>
  <c r="E52" i="16" s="1"/>
  <c r="E120" i="18"/>
  <c r="B255" i="20"/>
  <c r="L80" i="23"/>
  <c r="B190" i="20"/>
  <c r="L15" i="23"/>
  <c r="Q60" i="27"/>
  <c r="T60" i="27" s="1"/>
  <c r="L67" i="23"/>
  <c r="B241" i="20"/>
  <c r="Q54" i="27"/>
  <c r="T54" i="27" s="1"/>
  <c r="S54" i="27"/>
  <c r="Q17" i="27"/>
  <c r="T17" i="27" s="1"/>
  <c r="S17" i="27"/>
  <c r="Q67" i="27"/>
  <c r="T67" i="27" s="1"/>
  <c r="Q35" i="27"/>
  <c r="T35" i="27" s="1"/>
  <c r="Q55" i="27"/>
  <c r="T55" i="27" s="1"/>
  <c r="S59" i="27"/>
  <c r="Q59" i="27"/>
  <c r="T59" i="27" s="1"/>
  <c r="E98" i="18"/>
  <c r="E41" i="16" s="1"/>
  <c r="E97" i="18"/>
  <c r="E137" i="18"/>
  <c r="E138" i="18"/>
  <c r="E59" i="16" s="1"/>
  <c r="L76" i="23"/>
  <c r="B251" i="20"/>
  <c r="Q74" i="27"/>
  <c r="T74" i="27" s="1"/>
  <c r="S74" i="27"/>
  <c r="E53" i="18"/>
  <c r="E54" i="18"/>
  <c r="E25" i="16" s="1"/>
  <c r="B210" i="20"/>
  <c r="L35" i="23"/>
  <c r="L10" i="23"/>
  <c r="B185" i="20"/>
  <c r="L33" i="23"/>
  <c r="B208" i="20"/>
  <c r="L51" i="23"/>
  <c r="B225" i="20"/>
  <c r="E177" i="18"/>
  <c r="E178" i="18"/>
  <c r="E75" i="16" s="1"/>
  <c r="E14" i="18"/>
  <c r="E15" i="18"/>
  <c r="E9" i="16" s="1"/>
  <c r="B216" i="20"/>
  <c r="L40" i="23"/>
  <c r="L41" i="23"/>
  <c r="B217" i="20"/>
  <c r="L68" i="23"/>
  <c r="B242" i="20"/>
  <c r="S69" i="27"/>
  <c r="Q69" i="27"/>
  <c r="T69" i="27" s="1"/>
  <c r="E63" i="18"/>
  <c r="E29" i="16" s="1"/>
  <c r="E62" i="18"/>
  <c r="E182" i="18"/>
  <c r="E76" i="16"/>
  <c r="B215" i="20"/>
  <c r="L39" i="23"/>
  <c r="S32" i="27"/>
  <c r="Q32" i="27"/>
  <c r="T32" i="27" s="1"/>
  <c r="S66" i="27"/>
  <c r="Q66" i="27"/>
  <c r="T66" i="27" s="1"/>
  <c r="E35" i="18"/>
  <c r="E16" i="16" s="1"/>
  <c r="E34" i="18"/>
  <c r="E15" i="16" s="1"/>
  <c r="E36" i="18"/>
  <c r="E17" i="16" s="1"/>
  <c r="E33" i="18"/>
  <c r="L65" i="23"/>
  <c r="B239" i="20"/>
  <c r="L66" i="23"/>
  <c r="B240" i="20"/>
  <c r="B221" i="20"/>
  <c r="L45" i="23"/>
  <c r="B224" i="20"/>
  <c r="L50" i="23"/>
  <c r="Q21" i="27"/>
  <c r="T21" i="27" s="1"/>
  <c r="B209" i="20"/>
  <c r="L34" i="23"/>
  <c r="P53" i="27"/>
  <c r="S53" i="27" s="1"/>
  <c r="O75" i="27"/>
  <c r="L57" i="23"/>
  <c r="B231" i="20"/>
  <c r="E162" i="18"/>
  <c r="E164" i="18"/>
  <c r="E70" i="16" s="1"/>
  <c r="E163" i="18"/>
  <c r="E69" i="16" s="1"/>
  <c r="E133" i="18"/>
  <c r="E134" i="18"/>
  <c r="E57" i="16" s="1"/>
  <c r="B197" i="20"/>
  <c r="L22" i="23"/>
  <c r="S68" i="27"/>
  <c r="Q68" i="27"/>
  <c r="T68" i="27" s="1"/>
  <c r="Q15" i="27"/>
  <c r="T15" i="27" s="1"/>
  <c r="Q62" i="27"/>
  <c r="T62" i="27" s="1"/>
  <c r="L37" i="23"/>
  <c r="B213" i="20"/>
  <c r="L74" i="23"/>
  <c r="B249" i="20"/>
  <c r="S23" i="27"/>
  <c r="Q23" i="27"/>
  <c r="T23" i="27" s="1"/>
  <c r="F8" i="17"/>
  <c r="S73" i="27"/>
  <c r="Q73" i="27"/>
  <c r="T73" i="27" s="1"/>
  <c r="B218" i="20"/>
  <c r="L42" i="23"/>
  <c r="E115" i="18"/>
  <c r="E50" i="16" s="1"/>
  <c r="E114" i="18"/>
  <c r="H72" i="20"/>
  <c r="D72" i="20"/>
  <c r="F72" i="20"/>
  <c r="J72" i="20"/>
  <c r="C67" i="16"/>
  <c r="J70" i="23" s="1"/>
  <c r="B20" i="20"/>
  <c r="J24" i="23"/>
  <c r="D38" i="20"/>
  <c r="H38" i="20"/>
  <c r="F38" i="20"/>
  <c r="D55" i="20"/>
  <c r="H61" i="20"/>
  <c r="J77" i="23"/>
  <c r="C179" i="18"/>
  <c r="C23" i="18"/>
  <c r="C12" i="16" s="1"/>
  <c r="J15" i="23" s="1"/>
  <c r="C20" i="18"/>
  <c r="H55" i="20"/>
  <c r="F55" i="20"/>
  <c r="C29" i="16"/>
  <c r="J32" i="23" s="1"/>
  <c r="J60" i="23"/>
  <c r="C116" i="18"/>
  <c r="C135" i="18"/>
  <c r="H32" i="20"/>
  <c r="J32" i="20"/>
  <c r="N59" i="30"/>
  <c r="M34" i="23"/>
  <c r="C26" i="16"/>
  <c r="B25" i="20" s="1"/>
  <c r="B57" i="20"/>
  <c r="F57" i="20" s="1"/>
  <c r="F61" i="20"/>
  <c r="C25" i="16"/>
  <c r="B24" i="20" s="1"/>
  <c r="J61" i="20"/>
  <c r="J76" i="20"/>
  <c r="H76" i="20"/>
  <c r="C40" i="16"/>
  <c r="J43" i="23" s="1"/>
  <c r="C51" i="18"/>
  <c r="D76" i="20"/>
  <c r="F32" i="20"/>
  <c r="H54" i="20"/>
  <c r="D54" i="20"/>
  <c r="F54" i="20"/>
  <c r="J54" i="20"/>
  <c r="K55" i="30"/>
  <c r="M62" i="15" s="1"/>
  <c r="R71" i="28" s="1"/>
  <c r="K57" i="30"/>
  <c r="M64" i="15" s="1"/>
  <c r="R73" i="28" s="1"/>
  <c r="K11" i="30"/>
  <c r="M10" i="15" s="1"/>
  <c r="R13" i="28" s="1"/>
  <c r="K28" i="30"/>
  <c r="M27" i="15" s="1"/>
  <c r="R30" i="28" s="1"/>
  <c r="K8" i="30"/>
  <c r="M7" i="15" s="1"/>
  <c r="R10" i="28" s="1"/>
  <c r="K36" i="30"/>
  <c r="M43" i="15" s="1"/>
  <c r="R52" i="28" s="1"/>
  <c r="K45" i="30"/>
  <c r="M52" i="15" s="1"/>
  <c r="R61" i="28" s="1"/>
  <c r="K25" i="30"/>
  <c r="M24" i="15" s="1"/>
  <c r="R27" i="28" s="1"/>
  <c r="C165" i="18"/>
  <c r="N76" i="27"/>
  <c r="K24" i="30"/>
  <c r="M23" i="15" s="1"/>
  <c r="R26" i="28" s="1"/>
  <c r="K30" i="30"/>
  <c r="M29" i="15" s="1"/>
  <c r="R32" i="28" s="1"/>
  <c r="K51" i="30"/>
  <c r="M58" i="15" s="1"/>
  <c r="R67" i="28" s="1"/>
  <c r="K50" i="30"/>
  <c r="M57" i="15" s="1"/>
  <c r="R66" i="28" s="1"/>
  <c r="K54" i="30"/>
  <c r="M61" i="15" s="1"/>
  <c r="R70" i="28" s="1"/>
  <c r="K52" i="30"/>
  <c r="M59" i="15" s="1"/>
  <c r="R68" i="28" s="1"/>
  <c r="K41" i="30"/>
  <c r="M48" i="15" s="1"/>
  <c r="R57" i="28" s="1"/>
  <c r="C122" i="18"/>
  <c r="C16" i="18"/>
  <c r="F47" i="18"/>
  <c r="K56" i="30"/>
  <c r="M63" i="15" s="1"/>
  <c r="R72" i="28" s="1"/>
  <c r="K38" i="30"/>
  <c r="M45" i="15" s="1"/>
  <c r="R54" i="28" s="1"/>
  <c r="K10" i="30"/>
  <c r="K39" i="30"/>
  <c r="M46" i="15" s="1"/>
  <c r="R55" i="28" s="1"/>
  <c r="K46" i="30"/>
  <c r="M53" i="15" s="1"/>
  <c r="R62" i="28" s="1"/>
  <c r="K44" i="30"/>
  <c r="M51" i="15" s="1"/>
  <c r="R60" i="28" s="1"/>
  <c r="K32" i="30"/>
  <c r="K21" i="30"/>
  <c r="M20" i="15" s="1"/>
  <c r="R23" i="28" s="1"/>
  <c r="K33" i="30"/>
  <c r="K31" i="30"/>
  <c r="M30" i="15" s="1"/>
  <c r="R33" i="28" s="1"/>
  <c r="K19" i="30"/>
  <c r="K27" i="30"/>
  <c r="M26" i="15" s="1"/>
  <c r="R29" i="28" s="1"/>
  <c r="K20" i="30"/>
  <c r="K29" i="30"/>
  <c r="M28" i="15" s="1"/>
  <c r="R31" i="28" s="1"/>
  <c r="K22" i="30"/>
  <c r="K17" i="30"/>
  <c r="K37" i="30"/>
  <c r="M44" i="15" s="1"/>
  <c r="R53" i="28" s="1"/>
  <c r="K47" i="30"/>
  <c r="M54" i="15" s="1"/>
  <c r="R63" i="28" s="1"/>
  <c r="K42" i="30"/>
  <c r="M49" i="15" s="1"/>
  <c r="R58" i="28" s="1"/>
  <c r="K7" i="30"/>
  <c r="L7" i="30" s="1"/>
  <c r="C14" i="16"/>
  <c r="C38" i="18"/>
  <c r="B14" i="20"/>
  <c r="J18" i="23"/>
  <c r="J20" i="23"/>
  <c r="B16" i="20"/>
  <c r="J19" i="23"/>
  <c r="B15" i="20"/>
  <c r="M76" i="27"/>
  <c r="J56" i="20"/>
  <c r="D56" i="20"/>
  <c r="F56" i="20"/>
  <c r="H56" i="20"/>
  <c r="T10" i="28"/>
  <c r="T73" i="28"/>
  <c r="T55" i="28"/>
  <c r="T20" i="28"/>
  <c r="T59" i="28"/>
  <c r="T54" i="28"/>
  <c r="T16" i="28"/>
  <c r="T64" i="28"/>
  <c r="T70" i="28"/>
  <c r="T61" i="28"/>
  <c r="T11" i="28"/>
  <c r="T26" i="28"/>
  <c r="T22" i="28"/>
  <c r="T15" i="28"/>
  <c r="T12" i="28"/>
  <c r="T28" i="28"/>
  <c r="T57" i="28"/>
  <c r="T71" i="28"/>
  <c r="T56" i="28"/>
  <c r="T31" i="28"/>
  <c r="T17" i="28"/>
  <c r="T53" i="28"/>
  <c r="T27" i="28"/>
  <c r="T35" i="28"/>
  <c r="T65" i="28"/>
  <c r="T33" i="28"/>
  <c r="T13" i="28"/>
  <c r="T52" i="28"/>
  <c r="O31" i="28"/>
  <c r="O52" i="28"/>
  <c r="B69" i="20"/>
  <c r="J73" i="23"/>
  <c r="M23" i="23"/>
  <c r="B288" i="20"/>
  <c r="T32" i="28"/>
  <c r="T19" i="28"/>
  <c r="O62" i="28"/>
  <c r="B330" i="20"/>
  <c r="M66" i="23"/>
  <c r="T60" i="28"/>
  <c r="O71" i="28"/>
  <c r="S64" i="27"/>
  <c r="Q64" i="27"/>
  <c r="T64" i="27" s="1"/>
  <c r="T34" i="28"/>
  <c r="O54" i="28"/>
  <c r="J14" i="23"/>
  <c r="B10" i="20"/>
  <c r="T18" i="28"/>
  <c r="Q12" i="27"/>
  <c r="T12" i="27" s="1"/>
  <c r="O56" i="28"/>
  <c r="J34" i="23"/>
  <c r="B30" i="20"/>
  <c r="M74" i="28"/>
  <c r="N74" i="28" s="1"/>
  <c r="T69" i="28"/>
  <c r="M36" i="23"/>
  <c r="B302" i="20"/>
  <c r="T29" i="28"/>
  <c r="B311" i="20"/>
  <c r="M45" i="23"/>
  <c r="M37" i="23"/>
  <c r="B303" i="20"/>
  <c r="M64" i="23"/>
  <c r="B328" i="20"/>
  <c r="J55" i="23"/>
  <c r="B50" i="20"/>
  <c r="B60" i="20"/>
  <c r="J65" i="23"/>
  <c r="J51" i="23"/>
  <c r="B46" i="20"/>
  <c r="O55" i="28"/>
  <c r="F50" i="18"/>
  <c r="F23" i="16" s="1"/>
  <c r="F49" i="18"/>
  <c r="K9" i="30"/>
  <c r="T23" i="28"/>
  <c r="F14" i="18"/>
  <c r="F15" i="18"/>
  <c r="F9" i="16" s="1"/>
  <c r="B275" i="20"/>
  <c r="M10" i="23"/>
  <c r="F115" i="18"/>
  <c r="F50" i="16" s="1"/>
  <c r="F114" i="18"/>
  <c r="M51" i="23"/>
  <c r="B315" i="20"/>
  <c r="M56" i="23"/>
  <c r="B320" i="20"/>
  <c r="O63" i="28"/>
  <c r="B274" i="20"/>
  <c r="M9" i="23"/>
  <c r="B64" i="20"/>
  <c r="J68" i="23"/>
  <c r="O11" i="28"/>
  <c r="K76" i="27"/>
  <c r="K78" i="27" s="1"/>
  <c r="L37" i="27"/>
  <c r="O70" i="28"/>
  <c r="D73" i="20"/>
  <c r="J73" i="20"/>
  <c r="F73" i="20"/>
  <c r="H73" i="20"/>
  <c r="J70" i="20"/>
  <c r="F70" i="20"/>
  <c r="D70" i="20"/>
  <c r="H70" i="20"/>
  <c r="F120" i="18"/>
  <c r="F121" i="18"/>
  <c r="F52" i="16" s="1"/>
  <c r="J23" i="23"/>
  <c r="B19" i="20"/>
  <c r="M68" i="23"/>
  <c r="B332" i="20"/>
  <c r="J30" i="23"/>
  <c r="B26" i="20"/>
  <c r="R10" i="27"/>
  <c r="Q10" i="27"/>
  <c r="T10" i="27" s="1"/>
  <c r="T72" i="28"/>
  <c r="S61" i="27"/>
  <c r="Q61" i="27"/>
  <c r="T61" i="27" s="1"/>
  <c r="B331" i="20"/>
  <c r="M67" i="23"/>
  <c r="B287" i="20"/>
  <c r="M22" i="23"/>
  <c r="T21" i="28"/>
  <c r="O30" i="28"/>
  <c r="B48" i="20"/>
  <c r="J53" i="23"/>
  <c r="O9" i="28"/>
  <c r="G65" i="15"/>
  <c r="J36" i="23"/>
  <c r="B33" i="20"/>
  <c r="L65" i="15"/>
  <c r="Q9" i="28"/>
  <c r="O34" i="28"/>
  <c r="F62" i="18"/>
  <c r="F63" i="18"/>
  <c r="F29" i="16" s="1"/>
  <c r="F54" i="18"/>
  <c r="F25" i="16" s="1"/>
  <c r="F53" i="18"/>
  <c r="O19" i="28"/>
  <c r="O10" i="28"/>
  <c r="B7" i="20"/>
  <c r="J11" i="23"/>
  <c r="O12" i="28"/>
  <c r="O60" i="28"/>
  <c r="M33" i="23"/>
  <c r="B298" i="20"/>
  <c r="J33" i="23"/>
  <c r="B29" i="20"/>
  <c r="T24" i="28"/>
  <c r="M24" i="23"/>
  <c r="B289" i="20"/>
  <c r="O20" i="28"/>
  <c r="T66" i="28"/>
  <c r="F299" i="20"/>
  <c r="H299" i="20"/>
  <c r="J299" i="20"/>
  <c r="D299" i="20"/>
  <c r="F5" i="18"/>
  <c r="F6" i="18" s="1"/>
  <c r="E54" i="17"/>
  <c r="F18" i="20"/>
  <c r="J18" i="20"/>
  <c r="H18" i="20"/>
  <c r="D18" i="20"/>
  <c r="F76" i="16"/>
  <c r="F182" i="18"/>
  <c r="B59" i="20"/>
  <c r="J64" i="23"/>
  <c r="O57" i="28"/>
  <c r="O21" i="28"/>
  <c r="B22" i="20"/>
  <c r="J26" i="23"/>
  <c r="F35" i="18"/>
  <c r="F16" i="16" s="1"/>
  <c r="F34" i="18"/>
  <c r="F15" i="16" s="1"/>
  <c r="F36" i="18"/>
  <c r="F17" i="16" s="1"/>
  <c r="F33" i="18"/>
  <c r="B307" i="20"/>
  <c r="M41" i="23"/>
  <c r="F177" i="18"/>
  <c r="F178" i="18"/>
  <c r="F75" i="16" s="1"/>
  <c r="M22" i="15"/>
  <c r="L23" i="30"/>
  <c r="C19" i="17" s="1"/>
  <c r="K18" i="30"/>
  <c r="B34" i="20"/>
  <c r="J37" i="23"/>
  <c r="O18" i="28"/>
  <c r="R53" i="27"/>
  <c r="L75" i="27"/>
  <c r="O61" i="28"/>
  <c r="H62" i="20"/>
  <c r="J62" i="20"/>
  <c r="D62" i="20"/>
  <c r="F62" i="20"/>
  <c r="O24" i="28"/>
  <c r="B65" i="20"/>
  <c r="J69" i="23"/>
  <c r="T58" i="28"/>
  <c r="B27" i="20"/>
  <c r="J31" i="23"/>
  <c r="B12" i="20"/>
  <c r="J16" i="23"/>
  <c r="O35" i="28"/>
  <c r="M58" i="23"/>
  <c r="B322" i="20"/>
  <c r="J10" i="23"/>
  <c r="B6" i="20"/>
  <c r="J50" i="23"/>
  <c r="B45" i="20"/>
  <c r="O64" i="28"/>
  <c r="O65" i="28"/>
  <c r="B47" i="20"/>
  <c r="J52" i="23"/>
  <c r="F159" i="18"/>
  <c r="F67" i="16" s="1"/>
  <c r="F158" i="18"/>
  <c r="F98" i="18"/>
  <c r="F41" i="16" s="1"/>
  <c r="F97" i="18"/>
  <c r="B329" i="20"/>
  <c r="M65" i="23"/>
  <c r="J75" i="20"/>
  <c r="D75" i="20"/>
  <c r="H75" i="20"/>
  <c r="F75" i="20"/>
  <c r="O17" i="28"/>
  <c r="B41" i="20"/>
  <c r="J44" i="23"/>
  <c r="H37" i="20"/>
  <c r="J37" i="20"/>
  <c r="F37" i="20"/>
  <c r="D37" i="20"/>
  <c r="O15" i="28"/>
  <c r="K26" i="30"/>
  <c r="K16" i="30"/>
  <c r="O67" i="28"/>
  <c r="M76" i="23"/>
  <c r="B341" i="20"/>
  <c r="I65" i="15"/>
  <c r="K9" i="28"/>
  <c r="M42" i="23"/>
  <c r="B308" i="20"/>
  <c r="J56" i="23"/>
  <c r="B51" i="20"/>
  <c r="T63" i="28"/>
  <c r="T67" i="28"/>
  <c r="B345" i="20"/>
  <c r="M80" i="23"/>
  <c r="O72" i="28"/>
  <c r="B49" i="20"/>
  <c r="J54" i="23"/>
  <c r="O28" i="28"/>
  <c r="O26" i="28"/>
  <c r="J74" i="20"/>
  <c r="H74" i="20"/>
  <c r="D74" i="20"/>
  <c r="F74" i="20"/>
  <c r="F58" i="18"/>
  <c r="F27" i="16" s="1"/>
  <c r="F57" i="18"/>
  <c r="F163" i="18"/>
  <c r="F69" i="16" s="1"/>
  <c r="F162" i="18"/>
  <c r="F164" i="18"/>
  <c r="F70" i="16" s="1"/>
  <c r="F18" i="18"/>
  <c r="F19" i="18"/>
  <c r="F11" i="16" s="1"/>
  <c r="O68" i="28"/>
  <c r="K48" i="30"/>
  <c r="J45" i="23"/>
  <c r="B42" i="20"/>
  <c r="M35" i="23"/>
  <c r="B300" i="20"/>
  <c r="O73" i="28"/>
  <c r="K15" i="30"/>
  <c r="K13" i="30"/>
  <c r="C6" i="18"/>
  <c r="M16" i="23"/>
  <c r="B281" i="20"/>
  <c r="B36" i="20"/>
  <c r="J39" i="23"/>
  <c r="J12" i="23"/>
  <c r="B8" i="20"/>
  <c r="F137" i="18"/>
  <c r="F138" i="18"/>
  <c r="F59" i="16" s="1"/>
  <c r="B5" i="20"/>
  <c r="J9" i="23"/>
  <c r="J71" i="23"/>
  <c r="B67" i="20"/>
  <c r="M9" i="28"/>
  <c r="K65" i="15"/>
  <c r="B306" i="20"/>
  <c r="M40" i="23"/>
  <c r="O23" i="28"/>
  <c r="O22" i="28"/>
  <c r="O27" i="28"/>
  <c r="B340" i="20"/>
  <c r="M75" i="23"/>
  <c r="B305" i="20"/>
  <c r="M39" i="23"/>
  <c r="B21" i="20"/>
  <c r="J25" i="23"/>
  <c r="F134" i="18"/>
  <c r="F57" i="16" s="1"/>
  <c r="F133" i="18"/>
  <c r="T68" i="28"/>
  <c r="O53" i="28"/>
  <c r="K49" i="30"/>
  <c r="J65" i="15"/>
  <c r="L9" i="28"/>
  <c r="J76" i="23"/>
  <c r="B339" i="20"/>
  <c r="M74" i="23"/>
  <c r="J27" i="23"/>
  <c r="B23" i="20"/>
  <c r="K43" i="30"/>
  <c r="M38" i="23"/>
  <c r="B304" i="20"/>
  <c r="O58" i="28"/>
  <c r="K14" i="30"/>
  <c r="K53" i="30"/>
  <c r="J13" i="23"/>
  <c r="B9" i="20"/>
  <c r="O32" i="28"/>
  <c r="O66" i="28"/>
  <c r="B321" i="20"/>
  <c r="M57" i="23"/>
  <c r="T30" i="28"/>
  <c r="B39" i="20"/>
  <c r="J42" i="23"/>
  <c r="T62" i="28"/>
  <c r="O13" i="28"/>
  <c r="B68" i="20"/>
  <c r="J72" i="23"/>
  <c r="O33" i="28"/>
  <c r="B52" i="20"/>
  <c r="J57" i="23"/>
  <c r="O29" i="28"/>
  <c r="K40" i="30"/>
  <c r="B314" i="20"/>
  <c r="M50" i="23"/>
  <c r="O59" i="28"/>
  <c r="P9" i="28"/>
  <c r="H65" i="15"/>
  <c r="O16" i="28"/>
  <c r="O69" i="28"/>
  <c r="C186" i="18" l="1"/>
  <c r="C187" i="18" s="1"/>
  <c r="E140" i="18"/>
  <c r="J327" i="20"/>
  <c r="H327" i="20"/>
  <c r="F327" i="20"/>
  <c r="D327" i="20"/>
  <c r="J237" i="20"/>
  <c r="D237" i="20"/>
  <c r="F237" i="20"/>
  <c r="H237" i="20"/>
  <c r="F140" i="18"/>
  <c r="S25" i="27"/>
  <c r="J63" i="23"/>
  <c r="B58" i="20"/>
  <c r="D104" i="18"/>
  <c r="F30" i="17"/>
  <c r="E56" i="17"/>
  <c r="N15" i="23"/>
  <c r="P75" i="27"/>
  <c r="O76" i="27"/>
  <c r="P78" i="27" s="1"/>
  <c r="P79" i="27" s="1"/>
  <c r="E51" i="16"/>
  <c r="E122" i="18"/>
  <c r="J198" i="20"/>
  <c r="F198" i="20"/>
  <c r="D198" i="20"/>
  <c r="H198" i="20"/>
  <c r="F209" i="20"/>
  <c r="H209" i="20"/>
  <c r="J209" i="20"/>
  <c r="D209" i="20"/>
  <c r="E28" i="16"/>
  <c r="E64" i="18"/>
  <c r="H230" i="20"/>
  <c r="F230" i="20"/>
  <c r="J230" i="20"/>
  <c r="D230" i="20"/>
  <c r="B234" i="20"/>
  <c r="L60" i="23"/>
  <c r="L18" i="23"/>
  <c r="B193" i="20"/>
  <c r="J232" i="20"/>
  <c r="F232" i="20"/>
  <c r="D232" i="20"/>
  <c r="H232" i="20"/>
  <c r="D249" i="20"/>
  <c r="J249" i="20"/>
  <c r="H249" i="20"/>
  <c r="F249" i="20"/>
  <c r="L19" i="23"/>
  <c r="B194" i="20"/>
  <c r="F212" i="20"/>
  <c r="J212" i="20"/>
  <c r="H212" i="20"/>
  <c r="D212" i="20"/>
  <c r="F242" i="20"/>
  <c r="H242" i="20"/>
  <c r="J242" i="20"/>
  <c r="D242" i="20"/>
  <c r="L26" i="23"/>
  <c r="B201" i="20"/>
  <c r="L73" i="23"/>
  <c r="B248" i="20"/>
  <c r="E58" i="16"/>
  <c r="J191" i="20"/>
  <c r="F191" i="20"/>
  <c r="D191" i="20"/>
  <c r="H191" i="20"/>
  <c r="E22" i="16"/>
  <c r="E51" i="18"/>
  <c r="E68" i="16"/>
  <c r="E165" i="18"/>
  <c r="F217" i="20"/>
  <c r="D217" i="20"/>
  <c r="H217" i="20"/>
  <c r="J217" i="20"/>
  <c r="J185" i="20"/>
  <c r="D185" i="20"/>
  <c r="F185" i="20"/>
  <c r="H185" i="20"/>
  <c r="H214" i="20"/>
  <c r="F214" i="20"/>
  <c r="J214" i="20"/>
  <c r="D214" i="20"/>
  <c r="B227" i="20"/>
  <c r="L53" i="23"/>
  <c r="J231" i="20"/>
  <c r="F231" i="20"/>
  <c r="D231" i="20"/>
  <c r="H231" i="20"/>
  <c r="H221" i="20"/>
  <c r="F221" i="20"/>
  <c r="D221" i="20"/>
  <c r="J221" i="20"/>
  <c r="B220" i="20"/>
  <c r="L44" i="23"/>
  <c r="L70" i="23"/>
  <c r="B245" i="20"/>
  <c r="D238" i="20"/>
  <c r="F238" i="20"/>
  <c r="J238" i="20"/>
  <c r="H238" i="20"/>
  <c r="E26" i="16"/>
  <c r="E59" i="18"/>
  <c r="J225" i="20"/>
  <c r="D225" i="20"/>
  <c r="H225" i="20"/>
  <c r="F225" i="20"/>
  <c r="D240" i="20"/>
  <c r="H240" i="20"/>
  <c r="J240" i="20"/>
  <c r="F240" i="20"/>
  <c r="L14" i="23"/>
  <c r="B189" i="20"/>
  <c r="B195" i="20"/>
  <c r="L20" i="23"/>
  <c r="L30" i="23"/>
  <c r="B205" i="20"/>
  <c r="B229" i="20"/>
  <c r="L55" i="23"/>
  <c r="H251" i="20"/>
  <c r="F251" i="20"/>
  <c r="D251" i="20"/>
  <c r="J251" i="20"/>
  <c r="J184" i="20"/>
  <c r="H184" i="20"/>
  <c r="F184" i="20"/>
  <c r="D184" i="20"/>
  <c r="F190" i="20"/>
  <c r="H190" i="20"/>
  <c r="D190" i="20"/>
  <c r="J190" i="20"/>
  <c r="D239" i="20"/>
  <c r="F239" i="20"/>
  <c r="J239" i="20"/>
  <c r="H239" i="20"/>
  <c r="L79" i="23"/>
  <c r="B254" i="20"/>
  <c r="L12" i="23"/>
  <c r="B187" i="20"/>
  <c r="L28" i="23"/>
  <c r="B203" i="20"/>
  <c r="B199" i="20"/>
  <c r="L24" i="23"/>
  <c r="E14" i="16"/>
  <c r="E38" i="18"/>
  <c r="B253" i="20"/>
  <c r="L78" i="23"/>
  <c r="Q9" i="27"/>
  <c r="T9" i="27" s="1"/>
  <c r="S9" i="27"/>
  <c r="F197" i="20"/>
  <c r="H197" i="20"/>
  <c r="J197" i="20"/>
  <c r="D197" i="20"/>
  <c r="B207" i="20"/>
  <c r="L32" i="23"/>
  <c r="E74" i="16"/>
  <c r="E179" i="18"/>
  <c r="E56" i="16"/>
  <c r="E135" i="18"/>
  <c r="D224" i="20"/>
  <c r="F224" i="20"/>
  <c r="J224" i="20"/>
  <c r="H224" i="20"/>
  <c r="L72" i="23"/>
  <c r="B247" i="20"/>
  <c r="J208" i="20"/>
  <c r="H208" i="20"/>
  <c r="F208" i="20"/>
  <c r="D208" i="20"/>
  <c r="B236" i="20"/>
  <c r="L62" i="23"/>
  <c r="F213" i="20"/>
  <c r="H213" i="20"/>
  <c r="J213" i="20"/>
  <c r="D213" i="20"/>
  <c r="F241" i="20"/>
  <c r="D241" i="20"/>
  <c r="H241" i="20"/>
  <c r="J241" i="20"/>
  <c r="E49" i="16"/>
  <c r="E116" i="18"/>
  <c r="E40" i="16"/>
  <c r="E99" i="18"/>
  <c r="H250" i="20"/>
  <c r="F250" i="20"/>
  <c r="J250" i="20"/>
  <c r="D250" i="20"/>
  <c r="E66" i="16"/>
  <c r="E160" i="18"/>
  <c r="H218" i="20"/>
  <c r="J218" i="20"/>
  <c r="F218" i="20"/>
  <c r="D218" i="20"/>
  <c r="H215" i="20"/>
  <c r="D215" i="20"/>
  <c r="F215" i="20"/>
  <c r="J215" i="20"/>
  <c r="H216" i="20"/>
  <c r="J216" i="20"/>
  <c r="D216" i="20"/>
  <c r="F216" i="20"/>
  <c r="D210" i="20"/>
  <c r="F210" i="20"/>
  <c r="J210" i="20"/>
  <c r="H210" i="20"/>
  <c r="E10" i="16"/>
  <c r="E20" i="18"/>
  <c r="Q53" i="27"/>
  <c r="T53" i="27" s="1"/>
  <c r="E8" i="16"/>
  <c r="E16" i="18"/>
  <c r="E55" i="18"/>
  <c r="E24" i="16"/>
  <c r="H255" i="20"/>
  <c r="J255" i="20"/>
  <c r="F255" i="20"/>
  <c r="D255" i="20"/>
  <c r="E5" i="16"/>
  <c r="C78" i="16"/>
  <c r="B66" i="20"/>
  <c r="F66" i="20" s="1"/>
  <c r="F20" i="20"/>
  <c r="D20" i="20"/>
  <c r="J20" i="20"/>
  <c r="H20" i="20"/>
  <c r="G12" i="16"/>
  <c r="L24" i="30"/>
  <c r="C20" i="17" s="1"/>
  <c r="D72" i="18" s="1"/>
  <c r="L28" i="30"/>
  <c r="C24" i="17" s="1"/>
  <c r="D84" i="18" s="1"/>
  <c r="D85" i="18" s="1"/>
  <c r="D36" i="16" s="1"/>
  <c r="L38" i="30"/>
  <c r="C34" i="17" s="1"/>
  <c r="D114" i="18" s="1"/>
  <c r="B11" i="20"/>
  <c r="J11" i="20" s="1"/>
  <c r="B28" i="20"/>
  <c r="H28" i="20" s="1"/>
  <c r="B40" i="20"/>
  <c r="D40" i="20" s="1"/>
  <c r="J29" i="23"/>
  <c r="D57" i="20"/>
  <c r="J28" i="23"/>
  <c r="J57" i="20"/>
  <c r="N43" i="15"/>
  <c r="O43" i="15" s="1"/>
  <c r="L45" i="30"/>
  <c r="C41" i="17" s="1"/>
  <c r="D142" i="18" s="1"/>
  <c r="D143" i="18" s="1"/>
  <c r="D61" i="16" s="1"/>
  <c r="H57" i="20"/>
  <c r="S68" i="28"/>
  <c r="V68" i="28" s="1"/>
  <c r="L36" i="30"/>
  <c r="C32" i="17" s="1"/>
  <c r="D108" i="18" s="1"/>
  <c r="L44" i="30"/>
  <c r="C40" i="17" s="1"/>
  <c r="L8" i="30"/>
  <c r="C4" i="17" s="1"/>
  <c r="D8" i="18" s="1"/>
  <c r="D9" i="18" s="1"/>
  <c r="D6" i="16" s="1"/>
  <c r="L39" i="30"/>
  <c r="C35" i="17" s="1"/>
  <c r="D120" i="18" s="1"/>
  <c r="L11" i="30"/>
  <c r="C7" i="17" s="1"/>
  <c r="D19" i="18" s="1"/>
  <c r="S52" i="28"/>
  <c r="V52" i="28" s="1"/>
  <c r="N48" i="15"/>
  <c r="O48" i="15" s="1"/>
  <c r="N24" i="15"/>
  <c r="O24" i="15" s="1"/>
  <c r="N53" i="15"/>
  <c r="O53" i="15" s="1"/>
  <c r="N52" i="15"/>
  <c r="O52" i="15" s="1"/>
  <c r="S61" i="28"/>
  <c r="U61" i="28" s="1"/>
  <c r="N23" i="15"/>
  <c r="O23" i="15" s="1"/>
  <c r="N29" i="15"/>
  <c r="O29" i="15" s="1"/>
  <c r="S26" i="28"/>
  <c r="V26" i="28" s="1"/>
  <c r="N28" i="15"/>
  <c r="O28" i="15" s="1"/>
  <c r="N64" i="15"/>
  <c r="O64" i="15" s="1"/>
  <c r="N10" i="15"/>
  <c r="O10" i="15" s="1"/>
  <c r="S13" i="28"/>
  <c r="U13" i="28" s="1"/>
  <c r="L56" i="30"/>
  <c r="C52" i="17" s="1"/>
  <c r="D181" i="18" s="1"/>
  <c r="D182" i="18" s="1"/>
  <c r="N27" i="15"/>
  <c r="O27" i="15" s="1"/>
  <c r="L55" i="30"/>
  <c r="C51" i="17" s="1"/>
  <c r="D178" i="18" s="1"/>
  <c r="S73" i="28"/>
  <c r="V73" i="28" s="1"/>
  <c r="L57" i="30"/>
  <c r="C53" i="17" s="1"/>
  <c r="F53" i="17" s="1"/>
  <c r="S30" i="28"/>
  <c r="U30" i="28" s="1"/>
  <c r="S32" i="28"/>
  <c r="V32" i="28" s="1"/>
  <c r="S67" i="28"/>
  <c r="U67" i="28" s="1"/>
  <c r="N62" i="15"/>
  <c r="O62" i="15" s="1"/>
  <c r="S71" i="28"/>
  <c r="V71" i="28" s="1"/>
  <c r="L52" i="30"/>
  <c r="C48" i="17" s="1"/>
  <c r="F48" i="17" s="1"/>
  <c r="L25" i="30"/>
  <c r="C21" i="17" s="1"/>
  <c r="F21" i="17" s="1"/>
  <c r="S60" i="28"/>
  <c r="V60" i="28" s="1"/>
  <c r="S27" i="28"/>
  <c r="U27" i="28" s="1"/>
  <c r="N7" i="15"/>
  <c r="O7" i="15" s="1"/>
  <c r="S70" i="28"/>
  <c r="V70" i="28" s="1"/>
  <c r="S10" i="28"/>
  <c r="U10" i="28" s="1"/>
  <c r="L51" i="30"/>
  <c r="C47" i="17" s="1"/>
  <c r="D162" i="18" s="1"/>
  <c r="N26" i="15"/>
  <c r="O26" i="15" s="1"/>
  <c r="N46" i="15"/>
  <c r="O46" i="15" s="1"/>
  <c r="S29" i="28"/>
  <c r="U29" i="28" s="1"/>
  <c r="S55" i="28"/>
  <c r="V55" i="28" s="1"/>
  <c r="L29" i="30"/>
  <c r="C25" i="17" s="1"/>
  <c r="F25" i="17" s="1"/>
  <c r="L54" i="30"/>
  <c r="C50" i="17" s="1"/>
  <c r="D173" i="18" s="1"/>
  <c r="N20" i="15"/>
  <c r="O20" i="15" s="1"/>
  <c r="N63" i="15"/>
  <c r="O63" i="15" s="1"/>
  <c r="S72" i="28"/>
  <c r="U72" i="28" s="1"/>
  <c r="S57" i="28"/>
  <c r="U57" i="28" s="1"/>
  <c r="S53" i="28"/>
  <c r="U53" i="28" s="1"/>
  <c r="N59" i="15"/>
  <c r="O59" i="15" s="1"/>
  <c r="N58" i="15"/>
  <c r="O58" i="15" s="1"/>
  <c r="L30" i="30"/>
  <c r="C26" i="17" s="1"/>
  <c r="D91" i="18" s="1"/>
  <c r="D92" i="18" s="1"/>
  <c r="D38" i="16" s="1"/>
  <c r="S23" i="28"/>
  <c r="V23" i="28" s="1"/>
  <c r="N49" i="15"/>
  <c r="O49" i="15" s="1"/>
  <c r="L47" i="30"/>
  <c r="C43" i="17" s="1"/>
  <c r="F43" i="17" s="1"/>
  <c r="S63" i="28"/>
  <c r="V63" i="28" s="1"/>
  <c r="L50" i="30"/>
  <c r="C46" i="17" s="1"/>
  <c r="D158" i="18" s="1"/>
  <c r="N61" i="15"/>
  <c r="O61" i="15" s="1"/>
  <c r="N45" i="15"/>
  <c r="O45" i="15" s="1"/>
  <c r="N57" i="15"/>
  <c r="O57" i="15" s="1"/>
  <c r="L41" i="30"/>
  <c r="C37" i="17" s="1"/>
  <c r="F37" i="17" s="1"/>
  <c r="L27" i="30"/>
  <c r="C23" i="17" s="1"/>
  <c r="D81" i="18" s="1"/>
  <c r="D82" i="18" s="1"/>
  <c r="D35" i="16" s="1"/>
  <c r="S66" i="28"/>
  <c r="V66" i="28" s="1"/>
  <c r="N51" i="15"/>
  <c r="O51" i="15" s="1"/>
  <c r="N54" i="15"/>
  <c r="O54" i="15" s="1"/>
  <c r="M18" i="15"/>
  <c r="L19" i="30"/>
  <c r="C15" i="17" s="1"/>
  <c r="M32" i="15"/>
  <c r="L33" i="30"/>
  <c r="C29" i="17" s="1"/>
  <c r="M6" i="15"/>
  <c r="N6" i="15" s="1"/>
  <c r="O6" i="15" s="1"/>
  <c r="L42" i="30"/>
  <c r="C38" i="17" s="1"/>
  <c r="D130" i="18" s="1"/>
  <c r="L37" i="30"/>
  <c r="C33" i="17" s="1"/>
  <c r="D111" i="18" s="1"/>
  <c r="L46" i="30"/>
  <c r="C42" i="17" s="1"/>
  <c r="D145" i="18" s="1"/>
  <c r="N44" i="15"/>
  <c r="O44" i="15" s="1"/>
  <c r="S54" i="28"/>
  <c r="U54" i="28" s="1"/>
  <c r="S31" i="28"/>
  <c r="V31" i="28" s="1"/>
  <c r="M16" i="15"/>
  <c r="L17" i="30"/>
  <c r="C13" i="17" s="1"/>
  <c r="M21" i="15"/>
  <c r="L22" i="30"/>
  <c r="C18" i="17" s="1"/>
  <c r="S58" i="28"/>
  <c r="U58" i="28" s="1"/>
  <c r="M31" i="15"/>
  <c r="L32" i="30"/>
  <c r="C28" i="17" s="1"/>
  <c r="M9" i="15"/>
  <c r="L10" i="30"/>
  <c r="C6" i="17" s="1"/>
  <c r="N30" i="15"/>
  <c r="O30" i="15" s="1"/>
  <c r="L31" i="30"/>
  <c r="C27" i="17" s="1"/>
  <c r="D94" i="18" s="1"/>
  <c r="S33" i="28"/>
  <c r="U33" i="28" s="1"/>
  <c r="S62" i="28"/>
  <c r="V62" i="28" s="1"/>
  <c r="M19" i="15"/>
  <c r="L20" i="30"/>
  <c r="C16" i="17" s="1"/>
  <c r="L21" i="30"/>
  <c r="C17" i="17" s="1"/>
  <c r="D62" i="18" s="1"/>
  <c r="H15" i="20"/>
  <c r="D15" i="20"/>
  <c r="F15" i="20"/>
  <c r="J15" i="20"/>
  <c r="J16" i="20"/>
  <c r="F16" i="20"/>
  <c r="D16" i="20"/>
  <c r="H16" i="20"/>
  <c r="F14" i="20"/>
  <c r="J14" i="20"/>
  <c r="H14" i="20"/>
  <c r="D14" i="20"/>
  <c r="J17" i="23"/>
  <c r="B13" i="20"/>
  <c r="F59" i="18"/>
  <c r="F26" i="16"/>
  <c r="D7" i="20"/>
  <c r="J7" i="20"/>
  <c r="F7" i="20"/>
  <c r="H7" i="20"/>
  <c r="D47" i="20"/>
  <c r="F47" i="20"/>
  <c r="H47" i="20"/>
  <c r="J47" i="20"/>
  <c r="J307" i="20"/>
  <c r="F307" i="20"/>
  <c r="D307" i="20"/>
  <c r="H307" i="20"/>
  <c r="H12" i="20"/>
  <c r="J12" i="20"/>
  <c r="D12" i="20"/>
  <c r="F12" i="20"/>
  <c r="F340" i="20"/>
  <c r="D340" i="20"/>
  <c r="H340" i="20"/>
  <c r="J340" i="20"/>
  <c r="F39" i="20"/>
  <c r="D39" i="20"/>
  <c r="H39" i="20"/>
  <c r="J39" i="20"/>
  <c r="M47" i="15"/>
  <c r="L40" i="30"/>
  <c r="C36" i="17" s="1"/>
  <c r="H68" i="20"/>
  <c r="J68" i="20"/>
  <c r="D68" i="20"/>
  <c r="F68" i="20"/>
  <c r="H67" i="20"/>
  <c r="J67" i="20"/>
  <c r="D67" i="20"/>
  <c r="F67" i="20"/>
  <c r="F68" i="16"/>
  <c r="F165" i="18"/>
  <c r="H41" i="20"/>
  <c r="J41" i="20"/>
  <c r="D41" i="20"/>
  <c r="F41" i="20"/>
  <c r="M70" i="23"/>
  <c r="B335" i="20"/>
  <c r="J65" i="20"/>
  <c r="F65" i="20"/>
  <c r="H65" i="20"/>
  <c r="D65" i="20"/>
  <c r="M78" i="23"/>
  <c r="B343" i="20"/>
  <c r="F22" i="20"/>
  <c r="J22" i="20"/>
  <c r="D22" i="20"/>
  <c r="H22" i="20"/>
  <c r="J29" i="20"/>
  <c r="H29" i="20"/>
  <c r="D29" i="20"/>
  <c r="F29" i="20"/>
  <c r="M8" i="15"/>
  <c r="L9" i="30"/>
  <c r="C5" i="17" s="1"/>
  <c r="F311" i="20"/>
  <c r="H311" i="20"/>
  <c r="D311" i="20"/>
  <c r="J311" i="20"/>
  <c r="D30" i="20"/>
  <c r="J30" i="20"/>
  <c r="H30" i="20"/>
  <c r="F30" i="20"/>
  <c r="M15" i="15"/>
  <c r="L16" i="30"/>
  <c r="C12" i="17" s="1"/>
  <c r="B295" i="20"/>
  <c r="M30" i="23"/>
  <c r="F304" i="20"/>
  <c r="H304" i="20"/>
  <c r="J304" i="20"/>
  <c r="D304" i="20"/>
  <c r="M12" i="15"/>
  <c r="L13" i="30"/>
  <c r="C9" i="17" s="1"/>
  <c r="M72" i="23"/>
  <c r="B337" i="20"/>
  <c r="D6" i="20"/>
  <c r="J6" i="20"/>
  <c r="F6" i="20"/>
  <c r="H6" i="20"/>
  <c r="F74" i="16"/>
  <c r="F179" i="18"/>
  <c r="Q75" i="28"/>
  <c r="F11" i="31" s="1"/>
  <c r="G11" i="31" s="1"/>
  <c r="J48" i="20"/>
  <c r="D48" i="20"/>
  <c r="F48" i="20"/>
  <c r="H48" i="20"/>
  <c r="F49" i="16"/>
  <c r="F116" i="18"/>
  <c r="F51" i="18"/>
  <c r="F22" i="16"/>
  <c r="D21" i="20"/>
  <c r="H21" i="20"/>
  <c r="F21" i="20"/>
  <c r="J21" i="20"/>
  <c r="D288" i="20"/>
  <c r="H288" i="20"/>
  <c r="F288" i="20"/>
  <c r="J288" i="20"/>
  <c r="P75" i="28"/>
  <c r="F10" i="31" s="1"/>
  <c r="G10" i="31" s="1"/>
  <c r="F305" i="20"/>
  <c r="J305" i="20"/>
  <c r="D305" i="20"/>
  <c r="H305" i="20"/>
  <c r="J52" i="20"/>
  <c r="H52" i="20"/>
  <c r="D52" i="20"/>
  <c r="F52" i="20"/>
  <c r="J9" i="20"/>
  <c r="H9" i="20"/>
  <c r="D9" i="20"/>
  <c r="F9" i="20"/>
  <c r="M62" i="23"/>
  <c r="B326" i="20"/>
  <c r="F5" i="16"/>
  <c r="H69" i="20"/>
  <c r="J69" i="20"/>
  <c r="D69" i="20"/>
  <c r="F69" i="20"/>
  <c r="H42" i="20"/>
  <c r="F42" i="20"/>
  <c r="J42" i="20"/>
  <c r="D42" i="20"/>
  <c r="M20" i="23"/>
  <c r="B285" i="20"/>
  <c r="J287" i="20"/>
  <c r="F287" i="20"/>
  <c r="D287" i="20"/>
  <c r="H287" i="20"/>
  <c r="M55" i="23"/>
  <c r="B319" i="20"/>
  <c r="F330" i="20"/>
  <c r="D330" i="20"/>
  <c r="J330" i="20"/>
  <c r="H330" i="20"/>
  <c r="F314" i="20"/>
  <c r="D314" i="20"/>
  <c r="J314" i="20"/>
  <c r="H314" i="20"/>
  <c r="F329" i="20"/>
  <c r="H329" i="20"/>
  <c r="D329" i="20"/>
  <c r="J329" i="20"/>
  <c r="M28" i="23"/>
  <c r="B293" i="20"/>
  <c r="F51" i="16"/>
  <c r="F122" i="18"/>
  <c r="O74" i="28"/>
  <c r="M26" i="23"/>
  <c r="B291" i="20"/>
  <c r="D5" i="20"/>
  <c r="H5" i="20"/>
  <c r="F5" i="20"/>
  <c r="J5" i="20"/>
  <c r="B277" i="20"/>
  <c r="M12" i="23"/>
  <c r="H36" i="20"/>
  <c r="F36" i="20"/>
  <c r="D36" i="20"/>
  <c r="J36" i="20"/>
  <c r="F10" i="16"/>
  <c r="F20" i="18"/>
  <c r="F8" i="16"/>
  <c r="F16" i="18"/>
  <c r="J59" i="20"/>
  <c r="H59" i="20"/>
  <c r="F59" i="20"/>
  <c r="D59" i="20"/>
  <c r="F55" i="18"/>
  <c r="F24" i="16"/>
  <c r="D27" i="20"/>
  <c r="J27" i="20"/>
  <c r="F27" i="20"/>
  <c r="H27" i="20"/>
  <c r="F99" i="18"/>
  <c r="F40" i="16"/>
  <c r="H45" i="20"/>
  <c r="J45" i="20"/>
  <c r="D45" i="20"/>
  <c r="F45" i="20"/>
  <c r="B284" i="20"/>
  <c r="M19" i="23"/>
  <c r="M79" i="23"/>
  <c r="B344" i="20"/>
  <c r="B297" i="20"/>
  <c r="M32" i="23"/>
  <c r="F331" i="20"/>
  <c r="D331" i="20"/>
  <c r="H331" i="20"/>
  <c r="J331" i="20"/>
  <c r="L76" i="27"/>
  <c r="D320" i="20"/>
  <c r="F320" i="20"/>
  <c r="J320" i="20"/>
  <c r="H320" i="20"/>
  <c r="F303" i="20"/>
  <c r="D303" i="20"/>
  <c r="H303" i="20"/>
  <c r="J303" i="20"/>
  <c r="F322" i="20"/>
  <c r="H322" i="20"/>
  <c r="D322" i="20"/>
  <c r="J322" i="20"/>
  <c r="C3" i="17"/>
  <c r="D51" i="20"/>
  <c r="F51" i="20"/>
  <c r="H51" i="20"/>
  <c r="J51" i="20"/>
  <c r="H64" i="20"/>
  <c r="D64" i="20"/>
  <c r="J64" i="20"/>
  <c r="F64" i="20"/>
  <c r="M14" i="23"/>
  <c r="B279" i="20"/>
  <c r="M50" i="15"/>
  <c r="L43" i="30"/>
  <c r="C39" i="17" s="1"/>
  <c r="F38" i="18"/>
  <c r="F14" i="16"/>
  <c r="J33" i="20"/>
  <c r="H33" i="20"/>
  <c r="F33" i="20"/>
  <c r="D33" i="20"/>
  <c r="D26" i="20"/>
  <c r="J26" i="20"/>
  <c r="H26" i="20"/>
  <c r="F26" i="20"/>
  <c r="F274" i="20"/>
  <c r="J274" i="20"/>
  <c r="H274" i="20"/>
  <c r="D274" i="20"/>
  <c r="D46" i="20"/>
  <c r="J46" i="20"/>
  <c r="F46" i="20"/>
  <c r="H46" i="20"/>
  <c r="F328" i="20"/>
  <c r="D328" i="20"/>
  <c r="J328" i="20"/>
  <c r="H328" i="20"/>
  <c r="F58" i="16"/>
  <c r="F34" i="20"/>
  <c r="H34" i="20"/>
  <c r="D34" i="20"/>
  <c r="J34" i="20"/>
  <c r="N9" i="28"/>
  <c r="B283" i="20"/>
  <c r="M18" i="23"/>
  <c r="M55" i="15"/>
  <c r="L48" i="30"/>
  <c r="C44" i="17" s="1"/>
  <c r="K58" i="30"/>
  <c r="F28" i="16"/>
  <c r="F64" i="18"/>
  <c r="D60" i="20"/>
  <c r="J60" i="20"/>
  <c r="F60" i="20"/>
  <c r="H60" i="20"/>
  <c r="F10" i="20"/>
  <c r="J10" i="20"/>
  <c r="H10" i="20"/>
  <c r="D10" i="20"/>
  <c r="M14" i="15"/>
  <c r="L15" i="30"/>
  <c r="C11" i="17" s="1"/>
  <c r="J332" i="20"/>
  <c r="F332" i="20"/>
  <c r="H332" i="20"/>
  <c r="D332" i="20"/>
  <c r="B317" i="20"/>
  <c r="M53" i="23"/>
  <c r="L75" i="28"/>
  <c r="M25" i="15"/>
  <c r="L26" i="30"/>
  <c r="C22" i="17" s="1"/>
  <c r="J302" i="20"/>
  <c r="F302" i="20"/>
  <c r="H302" i="20"/>
  <c r="D302" i="20"/>
  <c r="D25" i="20"/>
  <c r="J25" i="20"/>
  <c r="H25" i="20"/>
  <c r="F25" i="20"/>
  <c r="D49" i="20"/>
  <c r="F49" i="20"/>
  <c r="J49" i="20"/>
  <c r="H49" i="20"/>
  <c r="H289" i="20"/>
  <c r="F289" i="20"/>
  <c r="J289" i="20"/>
  <c r="D289" i="20"/>
  <c r="H298" i="20"/>
  <c r="D298" i="20"/>
  <c r="J298" i="20"/>
  <c r="F298" i="20"/>
  <c r="F19" i="20"/>
  <c r="J19" i="20"/>
  <c r="D19" i="20"/>
  <c r="H19" i="20"/>
  <c r="J275" i="20"/>
  <c r="H275" i="20"/>
  <c r="F275" i="20"/>
  <c r="D275" i="20"/>
  <c r="D50" i="20"/>
  <c r="H50" i="20"/>
  <c r="F50" i="20"/>
  <c r="J50" i="20"/>
  <c r="M56" i="15"/>
  <c r="L49" i="30"/>
  <c r="C45" i="17" s="1"/>
  <c r="D306" i="20"/>
  <c r="H306" i="20"/>
  <c r="J306" i="20"/>
  <c r="F306" i="20"/>
  <c r="J300" i="20"/>
  <c r="D300" i="20"/>
  <c r="F300" i="20"/>
  <c r="H300" i="20"/>
  <c r="D308" i="20"/>
  <c r="H308" i="20"/>
  <c r="F308" i="20"/>
  <c r="J308" i="20"/>
  <c r="F23" i="20"/>
  <c r="H23" i="20"/>
  <c r="J23" i="20"/>
  <c r="D23" i="20"/>
  <c r="F281" i="20"/>
  <c r="D281" i="20"/>
  <c r="J281" i="20"/>
  <c r="H281" i="20"/>
  <c r="M17" i="15"/>
  <c r="L18" i="30"/>
  <c r="C14" i="17" s="1"/>
  <c r="D321" i="20"/>
  <c r="F321" i="20"/>
  <c r="J321" i="20"/>
  <c r="H321" i="20"/>
  <c r="M60" i="15"/>
  <c r="L53" i="30"/>
  <c r="C49" i="17" s="1"/>
  <c r="M13" i="15"/>
  <c r="L14" i="30"/>
  <c r="C10" i="17" s="1"/>
  <c r="F56" i="16"/>
  <c r="F135" i="18"/>
  <c r="M75" i="28"/>
  <c r="C5" i="16"/>
  <c r="C44" i="16" s="1"/>
  <c r="H345" i="20"/>
  <c r="J345" i="20"/>
  <c r="F345" i="20"/>
  <c r="D345" i="20"/>
  <c r="J341" i="20"/>
  <c r="F341" i="20"/>
  <c r="D341" i="20"/>
  <c r="H341" i="20"/>
  <c r="B310" i="20"/>
  <c r="M44" i="23"/>
  <c r="D69" i="18"/>
  <c r="F19" i="17"/>
  <c r="F24" i="20"/>
  <c r="D24" i="20"/>
  <c r="H24" i="20"/>
  <c r="J24" i="20"/>
  <c r="J339" i="20"/>
  <c r="H339" i="20"/>
  <c r="D339" i="20"/>
  <c r="F339" i="20"/>
  <c r="B324" i="20"/>
  <c r="M60" i="23"/>
  <c r="F8" i="20"/>
  <c r="J8" i="20"/>
  <c r="D8" i="20"/>
  <c r="H8" i="20"/>
  <c r="B338" i="20"/>
  <c r="M73" i="23"/>
  <c r="F66" i="16"/>
  <c r="F160" i="18"/>
  <c r="R25" i="28"/>
  <c r="S25" i="28" s="1"/>
  <c r="N22" i="15"/>
  <c r="O22" i="15" s="1"/>
  <c r="F315" i="20"/>
  <c r="D315" i="20"/>
  <c r="H315" i="20"/>
  <c r="J315" i="20"/>
  <c r="E186" i="18" l="1"/>
  <c r="F186" i="18"/>
  <c r="F40" i="17"/>
  <c r="D139" i="18"/>
  <c r="J58" i="20"/>
  <c r="D58" i="20"/>
  <c r="H58" i="20"/>
  <c r="F58" i="20"/>
  <c r="D105" i="18"/>
  <c r="D43" i="16" s="1"/>
  <c r="B132" i="20" s="1"/>
  <c r="G104" i="18"/>
  <c r="G105" i="18" s="1"/>
  <c r="F44" i="16"/>
  <c r="E44" i="16"/>
  <c r="J66" i="20"/>
  <c r="H66" i="20"/>
  <c r="P76" i="27"/>
  <c r="F20" i="17"/>
  <c r="L11" i="23"/>
  <c r="B186" i="20"/>
  <c r="J195" i="20"/>
  <c r="F195" i="20"/>
  <c r="H195" i="20"/>
  <c r="D195" i="20"/>
  <c r="L29" i="23"/>
  <c r="B204" i="20"/>
  <c r="L31" i="23"/>
  <c r="B206" i="20"/>
  <c r="F254" i="20"/>
  <c r="J254" i="20"/>
  <c r="H254" i="20"/>
  <c r="D254" i="20"/>
  <c r="B188" i="20"/>
  <c r="L13" i="23"/>
  <c r="B219" i="20"/>
  <c r="L43" i="23"/>
  <c r="F193" i="20"/>
  <c r="J193" i="20"/>
  <c r="H193" i="20"/>
  <c r="D193" i="20"/>
  <c r="B233" i="20"/>
  <c r="L59" i="23"/>
  <c r="F245" i="20"/>
  <c r="D245" i="20"/>
  <c r="H245" i="20"/>
  <c r="J245" i="20"/>
  <c r="B252" i="20"/>
  <c r="L77" i="23"/>
  <c r="L17" i="23"/>
  <c r="B192" i="20"/>
  <c r="J227" i="20"/>
  <c r="D227" i="20"/>
  <c r="H227" i="20"/>
  <c r="F227" i="20"/>
  <c r="H234" i="20"/>
  <c r="J234" i="20"/>
  <c r="D234" i="20"/>
  <c r="F234" i="20"/>
  <c r="Q75" i="27"/>
  <c r="F194" i="20"/>
  <c r="J194" i="20"/>
  <c r="H194" i="20"/>
  <c r="D194" i="20"/>
  <c r="D201" i="20"/>
  <c r="H201" i="20"/>
  <c r="F201" i="20"/>
  <c r="J201" i="20"/>
  <c r="B235" i="20"/>
  <c r="L61" i="23"/>
  <c r="B226" i="20"/>
  <c r="L52" i="23"/>
  <c r="E78" i="16"/>
  <c r="H207" i="20"/>
  <c r="J207" i="20"/>
  <c r="F207" i="20"/>
  <c r="D207" i="20"/>
  <c r="F199" i="20"/>
  <c r="J199" i="20"/>
  <c r="D199" i="20"/>
  <c r="H199" i="20"/>
  <c r="F229" i="20"/>
  <c r="D229" i="20"/>
  <c r="J229" i="20"/>
  <c r="H229" i="20"/>
  <c r="D220" i="20"/>
  <c r="H220" i="20"/>
  <c r="J220" i="20"/>
  <c r="F220" i="20"/>
  <c r="L71" i="23"/>
  <c r="B246" i="20"/>
  <c r="F248" i="20"/>
  <c r="H248" i="20"/>
  <c r="J248" i="20"/>
  <c r="D248" i="20"/>
  <c r="B202" i="20"/>
  <c r="L27" i="23"/>
  <c r="L69" i="23"/>
  <c r="B244" i="20"/>
  <c r="F247" i="20"/>
  <c r="H247" i="20"/>
  <c r="D247" i="20"/>
  <c r="J247" i="20"/>
  <c r="H203" i="20"/>
  <c r="F203" i="20"/>
  <c r="J203" i="20"/>
  <c r="D203" i="20"/>
  <c r="J205" i="20"/>
  <c r="D205" i="20"/>
  <c r="H205" i="20"/>
  <c r="F205" i="20"/>
  <c r="D187" i="20"/>
  <c r="J187" i="20"/>
  <c r="H187" i="20"/>
  <c r="F187" i="20"/>
  <c r="J189" i="20"/>
  <c r="H189" i="20"/>
  <c r="F189" i="20"/>
  <c r="D189" i="20"/>
  <c r="L8" i="23"/>
  <c r="B183" i="20"/>
  <c r="J236" i="20"/>
  <c r="D236" i="20"/>
  <c r="H236" i="20"/>
  <c r="F236" i="20"/>
  <c r="F253" i="20"/>
  <c r="D253" i="20"/>
  <c r="J253" i="20"/>
  <c r="H253" i="20"/>
  <c r="B200" i="20"/>
  <c r="L25" i="23"/>
  <c r="L54" i="23"/>
  <c r="B228" i="20"/>
  <c r="D66" i="20"/>
  <c r="D115" i="18"/>
  <c r="D116" i="18" s="1"/>
  <c r="F34" i="17"/>
  <c r="F24" i="17"/>
  <c r="F4" i="17"/>
  <c r="G84" i="18"/>
  <c r="G85" i="18" s="1"/>
  <c r="J40" i="20"/>
  <c r="H40" i="20"/>
  <c r="F28" i="20"/>
  <c r="J28" i="20"/>
  <c r="D28" i="20"/>
  <c r="G142" i="18"/>
  <c r="G143" i="18" s="1"/>
  <c r="H11" i="20"/>
  <c r="D11" i="20"/>
  <c r="F11" i="20"/>
  <c r="F40" i="20"/>
  <c r="F32" i="17"/>
  <c r="D137" i="18"/>
  <c r="F41" i="17"/>
  <c r="U68" i="28"/>
  <c r="V30" i="28"/>
  <c r="V13" i="28"/>
  <c r="F52" i="17"/>
  <c r="D87" i="18"/>
  <c r="G87" i="18" s="1"/>
  <c r="G88" i="18" s="1"/>
  <c r="D138" i="18"/>
  <c r="D59" i="16" s="1"/>
  <c r="D163" i="18"/>
  <c r="D69" i="16" s="1"/>
  <c r="D75" i="18"/>
  <c r="D76" i="18" s="1"/>
  <c r="D33" i="16" s="1"/>
  <c r="U52" i="28"/>
  <c r="U23" i="28"/>
  <c r="V27" i="28"/>
  <c r="F7" i="17"/>
  <c r="V61" i="28"/>
  <c r="D167" i="18"/>
  <c r="D168" i="18" s="1"/>
  <c r="D71" i="16" s="1"/>
  <c r="B159" i="20" s="1"/>
  <c r="U60" i="28"/>
  <c r="G8" i="18"/>
  <c r="G9" i="18" s="1"/>
  <c r="D76" i="16"/>
  <c r="K79" i="23" s="1"/>
  <c r="N79" i="23" s="1"/>
  <c r="D18" i="18"/>
  <c r="D10" i="16" s="1"/>
  <c r="F35" i="17"/>
  <c r="D121" i="18"/>
  <c r="G121" i="18" s="1"/>
  <c r="G181" i="18"/>
  <c r="G182" i="18" s="1"/>
  <c r="U70" i="28"/>
  <c r="F50" i="17"/>
  <c r="U26" i="28"/>
  <c r="F51" i="17"/>
  <c r="U71" i="28"/>
  <c r="V57" i="28"/>
  <c r="U32" i="28"/>
  <c r="V67" i="28"/>
  <c r="U73" i="28"/>
  <c r="D177" i="18"/>
  <c r="D179" i="18" s="1"/>
  <c r="U55" i="28"/>
  <c r="D184" i="18"/>
  <c r="D185" i="18" s="1"/>
  <c r="D77" i="16" s="1"/>
  <c r="V10" i="28"/>
  <c r="V53" i="28"/>
  <c r="F47" i="17"/>
  <c r="V72" i="28"/>
  <c r="D164" i="18"/>
  <c r="D70" i="16" s="1"/>
  <c r="V29" i="28"/>
  <c r="U66" i="28"/>
  <c r="F33" i="17"/>
  <c r="F23" i="17"/>
  <c r="D127" i="18"/>
  <c r="G127" i="18" s="1"/>
  <c r="G128" i="18" s="1"/>
  <c r="G81" i="18"/>
  <c r="G82" i="18" s="1"/>
  <c r="F42" i="17"/>
  <c r="D66" i="16"/>
  <c r="B154" i="20" s="1"/>
  <c r="D159" i="18"/>
  <c r="D67" i="16" s="1"/>
  <c r="K70" i="23" s="1"/>
  <c r="N70" i="23" s="1"/>
  <c r="F46" i="17"/>
  <c r="F26" i="17"/>
  <c r="D149" i="18"/>
  <c r="D150" i="18" s="1"/>
  <c r="D63" i="16" s="1"/>
  <c r="V33" i="28"/>
  <c r="G158" i="18"/>
  <c r="G91" i="18"/>
  <c r="G92" i="18" s="1"/>
  <c r="U63" i="28"/>
  <c r="V54" i="28"/>
  <c r="U31" i="28"/>
  <c r="U62" i="28"/>
  <c r="R34" i="28"/>
  <c r="S34" i="28" s="1"/>
  <c r="N31" i="15"/>
  <c r="O31" i="15" s="1"/>
  <c r="D66" i="18"/>
  <c r="F18" i="17"/>
  <c r="R24" i="28"/>
  <c r="S24" i="28" s="1"/>
  <c r="N21" i="15"/>
  <c r="O21" i="15" s="1"/>
  <c r="D46" i="18"/>
  <c r="F13" i="17"/>
  <c r="F29" i="17"/>
  <c r="D101" i="18"/>
  <c r="F27" i="17"/>
  <c r="D63" i="18"/>
  <c r="D64" i="18" s="1"/>
  <c r="F17" i="17"/>
  <c r="D14" i="18"/>
  <c r="D15" i="18"/>
  <c r="F6" i="17"/>
  <c r="R19" i="28"/>
  <c r="S19" i="28" s="1"/>
  <c r="N16" i="15"/>
  <c r="O16" i="15" s="1"/>
  <c r="R35" i="28"/>
  <c r="S35" i="28" s="1"/>
  <c r="N32" i="15"/>
  <c r="O32" i="15" s="1"/>
  <c r="V58" i="28"/>
  <c r="D57" i="18"/>
  <c r="D58" i="18"/>
  <c r="F16" i="17"/>
  <c r="F15" i="17"/>
  <c r="D53" i="18"/>
  <c r="D54" i="18"/>
  <c r="F38" i="17"/>
  <c r="R22" i="28"/>
  <c r="S22" i="28" s="1"/>
  <c r="N19" i="15"/>
  <c r="O19" i="15" s="1"/>
  <c r="R21" i="28"/>
  <c r="S21" i="28" s="1"/>
  <c r="N18" i="15"/>
  <c r="O18" i="15" s="1"/>
  <c r="R9" i="28"/>
  <c r="S9" i="28" s="1"/>
  <c r="R12" i="28"/>
  <c r="S12" i="28" s="1"/>
  <c r="N9" i="15"/>
  <c r="O9" i="15" s="1"/>
  <c r="G62" i="18"/>
  <c r="D28" i="16"/>
  <c r="G28" i="16" s="1"/>
  <c r="J28" i="16" s="1"/>
  <c r="D98" i="18"/>
  <c r="D97" i="18"/>
  <c r="F28" i="17"/>
  <c r="H13" i="20"/>
  <c r="D13" i="20"/>
  <c r="J13" i="20"/>
  <c r="F13" i="20"/>
  <c r="D112" i="18"/>
  <c r="D48" i="16" s="1"/>
  <c r="G111" i="18"/>
  <c r="G112" i="18" s="1"/>
  <c r="J291" i="20"/>
  <c r="H291" i="20"/>
  <c r="D291" i="20"/>
  <c r="F291" i="20"/>
  <c r="D11" i="16"/>
  <c r="G19" i="18"/>
  <c r="D70" i="18"/>
  <c r="D31" i="16" s="1"/>
  <c r="G69" i="18"/>
  <c r="G70" i="18" s="1"/>
  <c r="B4" i="20"/>
  <c r="J8" i="23"/>
  <c r="C79" i="16"/>
  <c r="R69" i="28"/>
  <c r="S69" i="28" s="1"/>
  <c r="N60" i="15"/>
  <c r="O60" i="15" s="1"/>
  <c r="D78" i="18"/>
  <c r="F22" i="17"/>
  <c r="D133" i="18"/>
  <c r="F39" i="17"/>
  <c r="D134" i="18"/>
  <c r="B124" i="20"/>
  <c r="K38" i="23"/>
  <c r="N38" i="23" s="1"/>
  <c r="G35" i="16"/>
  <c r="J35" i="16" s="1"/>
  <c r="H284" i="20"/>
  <c r="F284" i="20"/>
  <c r="J284" i="20"/>
  <c r="D284" i="20"/>
  <c r="D277" i="20"/>
  <c r="F277" i="20"/>
  <c r="J277" i="20"/>
  <c r="H277" i="20"/>
  <c r="J319" i="20"/>
  <c r="H319" i="20"/>
  <c r="D319" i="20"/>
  <c r="F319" i="20"/>
  <c r="D174" i="18"/>
  <c r="D73" i="16" s="1"/>
  <c r="G173" i="18"/>
  <c r="G174" i="18" s="1"/>
  <c r="R11" i="28"/>
  <c r="S11" i="28" s="1"/>
  <c r="N8" i="15"/>
  <c r="J343" i="20"/>
  <c r="F343" i="20"/>
  <c r="H343" i="20"/>
  <c r="D343" i="20"/>
  <c r="D155" i="18"/>
  <c r="F45" i="17"/>
  <c r="R28" i="28"/>
  <c r="S28" i="28" s="1"/>
  <c r="N25" i="15"/>
  <c r="O25" i="15" s="1"/>
  <c r="D40" i="18"/>
  <c r="F11" i="17"/>
  <c r="R59" i="28"/>
  <c r="S59" i="28" s="1"/>
  <c r="N50" i="15"/>
  <c r="O50" i="15" s="1"/>
  <c r="M8" i="23"/>
  <c r="B273" i="20"/>
  <c r="J324" i="20"/>
  <c r="F324" i="20"/>
  <c r="H324" i="20"/>
  <c r="D324" i="20"/>
  <c r="R65" i="28"/>
  <c r="S65" i="28" s="1"/>
  <c r="N56" i="15"/>
  <c r="O56" i="15" s="1"/>
  <c r="R17" i="28"/>
  <c r="S17" i="28" s="1"/>
  <c r="N14" i="15"/>
  <c r="O14" i="15" s="1"/>
  <c r="D152" i="18"/>
  <c r="F44" i="17"/>
  <c r="B292" i="20"/>
  <c r="M27" i="23"/>
  <c r="B290" i="20"/>
  <c r="M25" i="23"/>
  <c r="D310" i="20"/>
  <c r="J310" i="20"/>
  <c r="F310" i="20"/>
  <c r="H310" i="20"/>
  <c r="M76" i="28"/>
  <c r="E8" i="31"/>
  <c r="G8" i="31" s="1"/>
  <c r="B336" i="20"/>
  <c r="M71" i="23"/>
  <c r="B94" i="20"/>
  <c r="K9" i="23"/>
  <c r="N9" i="23" s="1"/>
  <c r="G6" i="16"/>
  <c r="J6" i="16" s="1"/>
  <c r="D5" i="18"/>
  <c r="C54" i="17"/>
  <c r="F3" i="17"/>
  <c r="F338" i="20"/>
  <c r="H338" i="20"/>
  <c r="J338" i="20"/>
  <c r="D338" i="20"/>
  <c r="D34" i="18"/>
  <c r="D33" i="18"/>
  <c r="D35" i="18"/>
  <c r="F10" i="17"/>
  <c r="D36" i="18"/>
  <c r="M61" i="23"/>
  <c r="B325" i="20"/>
  <c r="L58" i="30"/>
  <c r="D95" i="18"/>
  <c r="D39" i="16" s="1"/>
  <c r="G94" i="18"/>
  <c r="G95" i="18" s="1"/>
  <c r="H337" i="20"/>
  <c r="J337" i="20"/>
  <c r="F337" i="20"/>
  <c r="D337" i="20"/>
  <c r="R20" i="28"/>
  <c r="S20" i="28" s="1"/>
  <c r="N17" i="15"/>
  <c r="O17" i="15" s="1"/>
  <c r="O75" i="28"/>
  <c r="D146" i="18"/>
  <c r="D62" i="16" s="1"/>
  <c r="G145" i="18"/>
  <c r="G146" i="18" s="1"/>
  <c r="J297" i="20"/>
  <c r="H297" i="20"/>
  <c r="D297" i="20"/>
  <c r="F297" i="20"/>
  <c r="B278" i="20"/>
  <c r="M13" i="23"/>
  <c r="F285" i="20"/>
  <c r="J285" i="20"/>
  <c r="H285" i="20"/>
  <c r="D285" i="20"/>
  <c r="D124" i="18"/>
  <c r="F36" i="17"/>
  <c r="K39" i="23"/>
  <c r="N39" i="23" s="1"/>
  <c r="B125" i="20"/>
  <c r="G36" i="16"/>
  <c r="J36" i="16" s="1"/>
  <c r="B309" i="20"/>
  <c r="M43" i="23"/>
  <c r="R18" i="28"/>
  <c r="S18" i="28" s="1"/>
  <c r="N15" i="15"/>
  <c r="O15" i="15" s="1"/>
  <c r="B148" i="20"/>
  <c r="K64" i="23"/>
  <c r="N64" i="23" s="1"/>
  <c r="G61" i="16"/>
  <c r="J61" i="16" s="1"/>
  <c r="R56" i="28"/>
  <c r="N47" i="15"/>
  <c r="O47" i="15" s="1"/>
  <c r="M52" i="23"/>
  <c r="B316" i="20"/>
  <c r="F78" i="16"/>
  <c r="D43" i="18"/>
  <c r="F12" i="17"/>
  <c r="D317" i="20"/>
  <c r="J317" i="20"/>
  <c r="H317" i="20"/>
  <c r="F317" i="20"/>
  <c r="M31" i="23"/>
  <c r="B296" i="20"/>
  <c r="D51" i="16"/>
  <c r="G120" i="18"/>
  <c r="J335" i="20"/>
  <c r="H335" i="20"/>
  <c r="F335" i="20"/>
  <c r="D335" i="20"/>
  <c r="B294" i="20"/>
  <c r="M29" i="23"/>
  <c r="R64" i="28"/>
  <c r="S64" i="28" s="1"/>
  <c r="N55" i="15"/>
  <c r="O55" i="15" s="1"/>
  <c r="B276" i="20"/>
  <c r="M11" i="23"/>
  <c r="R16" i="28"/>
  <c r="S16" i="28" s="1"/>
  <c r="N13" i="15"/>
  <c r="O13" i="15" s="1"/>
  <c r="B282" i="20"/>
  <c r="M17" i="23"/>
  <c r="D68" i="16"/>
  <c r="G162" i="18"/>
  <c r="F283" i="20"/>
  <c r="H283" i="20"/>
  <c r="J283" i="20"/>
  <c r="D283" i="20"/>
  <c r="T9" i="28"/>
  <c r="J344" i="20"/>
  <c r="F344" i="20"/>
  <c r="D344" i="20"/>
  <c r="H344" i="20"/>
  <c r="D25" i="18"/>
  <c r="F9" i="17"/>
  <c r="D131" i="18"/>
  <c r="D55" i="16" s="1"/>
  <c r="G130" i="18"/>
  <c r="G131" i="18" s="1"/>
  <c r="D75" i="16"/>
  <c r="G178" i="18"/>
  <c r="M65" i="15"/>
  <c r="F326" i="20"/>
  <c r="H326" i="20"/>
  <c r="D326" i="20"/>
  <c r="J326" i="20"/>
  <c r="J11" i="31"/>
  <c r="I11" i="31"/>
  <c r="V25" i="28"/>
  <c r="U25" i="28"/>
  <c r="M54" i="23"/>
  <c r="B318" i="20"/>
  <c r="K75" i="28"/>
  <c r="D73" i="18"/>
  <c r="D32" i="16" s="1"/>
  <c r="G72" i="18"/>
  <c r="G73" i="18" s="1"/>
  <c r="F293" i="20"/>
  <c r="D293" i="20"/>
  <c r="J293" i="20"/>
  <c r="H293" i="20"/>
  <c r="D109" i="18"/>
  <c r="D47" i="16" s="1"/>
  <c r="G108" i="18"/>
  <c r="G109" i="18" s="1"/>
  <c r="I10" i="31"/>
  <c r="J10" i="31"/>
  <c r="B127" i="20"/>
  <c r="K41" i="23"/>
  <c r="N41" i="23" s="1"/>
  <c r="G38" i="16"/>
  <c r="J38" i="16" s="1"/>
  <c r="M77" i="23"/>
  <c r="B342" i="20"/>
  <c r="R15" i="28"/>
  <c r="S15" i="28" s="1"/>
  <c r="N12" i="15"/>
  <c r="O12" i="15" s="1"/>
  <c r="B323" i="20"/>
  <c r="M59" i="23"/>
  <c r="D279" i="20"/>
  <c r="H279" i="20"/>
  <c r="J279" i="20"/>
  <c r="F279" i="20"/>
  <c r="D49" i="18"/>
  <c r="D50" i="18"/>
  <c r="F14" i="17"/>
  <c r="B334" i="20"/>
  <c r="M69" i="23"/>
  <c r="D170" i="18"/>
  <c r="F49" i="17"/>
  <c r="D49" i="16"/>
  <c r="G114" i="18"/>
  <c r="D295" i="20"/>
  <c r="H295" i="20"/>
  <c r="F295" i="20"/>
  <c r="J295" i="20"/>
  <c r="D11" i="18"/>
  <c r="F5" i="17"/>
  <c r="F187" i="18" l="1"/>
  <c r="J132" i="20"/>
  <c r="D132" i="20"/>
  <c r="F132" i="20"/>
  <c r="G137" i="18"/>
  <c r="D140" i="18"/>
  <c r="D60" i="16"/>
  <c r="G139" i="18"/>
  <c r="K46" i="23"/>
  <c r="N46" i="23" s="1"/>
  <c r="R46" i="23" s="1"/>
  <c r="G43" i="16"/>
  <c r="J43" i="16" s="1"/>
  <c r="F188" i="18"/>
  <c r="L81" i="23"/>
  <c r="Q76" i="27"/>
  <c r="Q77" i="27" s="1"/>
  <c r="D88" i="18"/>
  <c r="D37" i="16" s="1"/>
  <c r="G37" i="16" s="1"/>
  <c r="J37" i="16" s="1"/>
  <c r="F233" i="20"/>
  <c r="H233" i="20"/>
  <c r="J233" i="20"/>
  <c r="D233" i="20"/>
  <c r="F206" i="20"/>
  <c r="J206" i="20"/>
  <c r="H206" i="20"/>
  <c r="D206" i="20"/>
  <c r="H244" i="20"/>
  <c r="F244" i="20"/>
  <c r="D244" i="20"/>
  <c r="J244" i="20"/>
  <c r="F204" i="20"/>
  <c r="D204" i="20"/>
  <c r="J204" i="20"/>
  <c r="H204" i="20"/>
  <c r="J202" i="20"/>
  <c r="F202" i="20"/>
  <c r="D202" i="20"/>
  <c r="H202" i="20"/>
  <c r="H252" i="20"/>
  <c r="F252" i="20"/>
  <c r="D252" i="20"/>
  <c r="J252" i="20"/>
  <c r="H219" i="20"/>
  <c r="F219" i="20"/>
  <c r="D219" i="20"/>
  <c r="J219" i="20"/>
  <c r="F228" i="20"/>
  <c r="J228" i="20"/>
  <c r="H228" i="20"/>
  <c r="D228" i="20"/>
  <c r="F226" i="20"/>
  <c r="D226" i="20"/>
  <c r="H226" i="20"/>
  <c r="J226" i="20"/>
  <c r="J188" i="20"/>
  <c r="D188" i="20"/>
  <c r="H188" i="20"/>
  <c r="F188" i="20"/>
  <c r="D246" i="20"/>
  <c r="F246" i="20"/>
  <c r="H246" i="20"/>
  <c r="J246" i="20"/>
  <c r="J183" i="20"/>
  <c r="H183" i="20"/>
  <c r="F183" i="20"/>
  <c r="D183" i="20"/>
  <c r="B256" i="20"/>
  <c r="F200" i="20"/>
  <c r="D200" i="20"/>
  <c r="H200" i="20"/>
  <c r="J200" i="20"/>
  <c r="E79" i="16"/>
  <c r="J235" i="20"/>
  <c r="F235" i="20"/>
  <c r="D235" i="20"/>
  <c r="H235" i="20"/>
  <c r="H186" i="20"/>
  <c r="D186" i="20"/>
  <c r="J186" i="20"/>
  <c r="F186" i="20"/>
  <c r="H192" i="20"/>
  <c r="J192" i="20"/>
  <c r="F192" i="20"/>
  <c r="D192" i="20"/>
  <c r="G115" i="18"/>
  <c r="G116" i="18" s="1"/>
  <c r="D58" i="16"/>
  <c r="G58" i="16" s="1"/>
  <c r="J58" i="16" s="1"/>
  <c r="D50" i="16"/>
  <c r="K53" i="23" s="1"/>
  <c r="N53" i="23" s="1"/>
  <c r="D47" i="18"/>
  <c r="D21" i="16"/>
  <c r="G21" i="16" s="1"/>
  <c r="B164" i="20"/>
  <c r="J164" i="20" s="1"/>
  <c r="G75" i="18"/>
  <c r="G76" i="18" s="1"/>
  <c r="G138" i="18"/>
  <c r="D74" i="16"/>
  <c r="G74" i="16" s="1"/>
  <c r="J74" i="16" s="1"/>
  <c r="G177" i="18"/>
  <c r="G179" i="18" s="1"/>
  <c r="G18" i="18"/>
  <c r="G20" i="18" s="1"/>
  <c r="D122" i="18"/>
  <c r="D165" i="18"/>
  <c r="G167" i="18"/>
  <c r="G168" i="18" s="1"/>
  <c r="D52" i="16"/>
  <c r="G52" i="16" s="1"/>
  <c r="J52" i="16" s="1"/>
  <c r="G163" i="18"/>
  <c r="G185" i="18"/>
  <c r="G164" i="18"/>
  <c r="G71" i="16"/>
  <c r="J71" i="16" s="1"/>
  <c r="D20" i="18"/>
  <c r="G76" i="16"/>
  <c r="J76" i="16" s="1"/>
  <c r="K74" i="23"/>
  <c r="N74" i="23" s="1"/>
  <c r="Q74" i="23" s="1"/>
  <c r="T74" i="23" s="1"/>
  <c r="G184" i="18"/>
  <c r="G67" i="16"/>
  <c r="J67" i="16" s="1"/>
  <c r="B155" i="20"/>
  <c r="D155" i="20" s="1"/>
  <c r="D128" i="18"/>
  <c r="D54" i="16" s="1"/>
  <c r="B141" i="20" s="1"/>
  <c r="D160" i="18"/>
  <c r="G149" i="18"/>
  <c r="G150" i="18" s="1"/>
  <c r="G159" i="18"/>
  <c r="G160" i="18" s="1"/>
  <c r="G66" i="16"/>
  <c r="J66" i="16" s="1"/>
  <c r="K69" i="23"/>
  <c r="N69" i="23" s="1"/>
  <c r="Q69" i="23" s="1"/>
  <c r="T69" i="23" s="1"/>
  <c r="B116" i="20"/>
  <c r="D116" i="20" s="1"/>
  <c r="K31" i="23"/>
  <c r="N31" i="23" s="1"/>
  <c r="R31" i="23" s="1"/>
  <c r="U19" i="28"/>
  <c r="V19" i="28"/>
  <c r="G46" i="18"/>
  <c r="G47" i="18" s="1"/>
  <c r="D99" i="18"/>
  <c r="G97" i="18"/>
  <c r="D40" i="16"/>
  <c r="U35" i="28"/>
  <c r="V35" i="28"/>
  <c r="D9" i="16"/>
  <c r="G15" i="18"/>
  <c r="V24" i="28"/>
  <c r="U24" i="28"/>
  <c r="V21" i="28"/>
  <c r="U21" i="28"/>
  <c r="G54" i="18"/>
  <c r="D25" i="16"/>
  <c r="D41" i="16"/>
  <c r="G98" i="18"/>
  <c r="D27" i="16"/>
  <c r="G58" i="18"/>
  <c r="D67" i="18"/>
  <c r="D30" i="16" s="1"/>
  <c r="G66" i="18"/>
  <c r="G67" i="18" s="1"/>
  <c r="G14" i="18"/>
  <c r="D8" i="16"/>
  <c r="D16" i="18"/>
  <c r="V12" i="28"/>
  <c r="U12" i="28"/>
  <c r="D26" i="16"/>
  <c r="D59" i="18"/>
  <c r="G57" i="18"/>
  <c r="G63" i="18"/>
  <c r="G64" i="18" s="1"/>
  <c r="D29" i="16"/>
  <c r="G101" i="18"/>
  <c r="G102" i="18" s="1"/>
  <c r="D102" i="18"/>
  <c r="D42" i="16" s="1"/>
  <c r="U22" i="28"/>
  <c r="V22" i="28"/>
  <c r="D55" i="18"/>
  <c r="G53" i="18"/>
  <c r="D24" i="16"/>
  <c r="U34" i="28"/>
  <c r="V34" i="28"/>
  <c r="R64" i="23"/>
  <c r="Q64" i="23"/>
  <c r="T64" i="23" s="1"/>
  <c r="D125" i="18"/>
  <c r="D53" i="16" s="1"/>
  <c r="G124" i="18"/>
  <c r="G125" i="18" s="1"/>
  <c r="B149" i="20"/>
  <c r="K65" i="23"/>
  <c r="N65" i="23" s="1"/>
  <c r="G62" i="16"/>
  <c r="J62" i="16" s="1"/>
  <c r="K34" i="23"/>
  <c r="N34" i="23" s="1"/>
  <c r="B119" i="20"/>
  <c r="G31" i="16"/>
  <c r="J31" i="16" s="1"/>
  <c r="K80" i="23"/>
  <c r="N80" i="23" s="1"/>
  <c r="B165" i="20"/>
  <c r="G77" i="16"/>
  <c r="J77" i="16" s="1"/>
  <c r="U16" i="28"/>
  <c r="V16" i="28"/>
  <c r="F148" i="20"/>
  <c r="J148" i="20"/>
  <c r="H148" i="20"/>
  <c r="D148" i="20"/>
  <c r="F9" i="31"/>
  <c r="F325" i="20"/>
  <c r="J325" i="20"/>
  <c r="H325" i="20"/>
  <c r="D325" i="20"/>
  <c r="Q9" i="23"/>
  <c r="T9" i="23" s="1"/>
  <c r="R9" i="23"/>
  <c r="D153" i="18"/>
  <c r="D64" i="16" s="1"/>
  <c r="G152" i="18"/>
  <c r="G153" i="18" s="1"/>
  <c r="O8" i="15"/>
  <c r="O65" i="15" s="1"/>
  <c r="N65" i="15"/>
  <c r="D44" i="18"/>
  <c r="D20" i="16" s="1"/>
  <c r="G43" i="18"/>
  <c r="G44" i="18" s="1"/>
  <c r="K66" i="23"/>
  <c r="N66" i="23" s="1"/>
  <c r="B150" i="20"/>
  <c r="G63" i="16"/>
  <c r="J63" i="16" s="1"/>
  <c r="K58" i="23"/>
  <c r="N58" i="23" s="1"/>
  <c r="B142" i="20"/>
  <c r="G55" i="16"/>
  <c r="J55" i="16" s="1"/>
  <c r="B157" i="20"/>
  <c r="K72" i="23"/>
  <c r="N72" i="23" s="1"/>
  <c r="Q72" i="23" s="1"/>
  <c r="G69" i="16"/>
  <c r="J69" i="16" s="1"/>
  <c r="F94" i="20"/>
  <c r="J94" i="20"/>
  <c r="H94" i="20"/>
  <c r="D94" i="20"/>
  <c r="U11" i="28"/>
  <c r="V11" i="28"/>
  <c r="B99" i="20"/>
  <c r="K14" i="23"/>
  <c r="N14" i="23" s="1"/>
  <c r="G11" i="16"/>
  <c r="J11" i="16" s="1"/>
  <c r="J318" i="20"/>
  <c r="F318" i="20"/>
  <c r="D318" i="20"/>
  <c r="H318" i="20"/>
  <c r="U18" i="28"/>
  <c r="V18" i="28"/>
  <c r="D290" i="20"/>
  <c r="F290" i="20"/>
  <c r="J290" i="20"/>
  <c r="H290" i="20"/>
  <c r="D22" i="16"/>
  <c r="D51" i="18"/>
  <c r="G49" i="18"/>
  <c r="B158" i="20"/>
  <c r="K73" i="23"/>
  <c r="N73" i="23" s="1"/>
  <c r="G70" i="16"/>
  <c r="J70" i="16" s="1"/>
  <c r="B122" i="20"/>
  <c r="K36" i="23"/>
  <c r="N36" i="23" s="1"/>
  <c r="G33" i="16"/>
  <c r="J33" i="16" s="1"/>
  <c r="U20" i="28"/>
  <c r="V20" i="28"/>
  <c r="D17" i="16"/>
  <c r="G36" i="18"/>
  <c r="V65" i="28"/>
  <c r="U65" i="28"/>
  <c r="U15" i="28"/>
  <c r="V15" i="28"/>
  <c r="D6" i="18"/>
  <c r="G5" i="18"/>
  <c r="G6" i="18" s="1"/>
  <c r="V28" i="28"/>
  <c r="U28" i="28"/>
  <c r="H309" i="20"/>
  <c r="D309" i="20"/>
  <c r="F309" i="20"/>
  <c r="J309" i="20"/>
  <c r="D16" i="16"/>
  <c r="G35" i="18"/>
  <c r="H273" i="20"/>
  <c r="B346" i="20"/>
  <c r="D273" i="20"/>
  <c r="F273" i="20"/>
  <c r="J273" i="20"/>
  <c r="Q38" i="23"/>
  <c r="T38" i="23" s="1"/>
  <c r="R38" i="23"/>
  <c r="U17" i="28"/>
  <c r="V17" i="28"/>
  <c r="D26" i="18"/>
  <c r="D13" i="16" s="1"/>
  <c r="G25" i="18"/>
  <c r="G26" i="18" s="1"/>
  <c r="K76" i="23"/>
  <c r="N76" i="23" s="1"/>
  <c r="B161" i="20"/>
  <c r="G73" i="16"/>
  <c r="J73" i="16" s="1"/>
  <c r="F154" i="20"/>
  <c r="J154" i="20"/>
  <c r="D154" i="20"/>
  <c r="H154" i="20"/>
  <c r="K71" i="23"/>
  <c r="N71" i="23" s="1"/>
  <c r="B156" i="20"/>
  <c r="G68" i="16"/>
  <c r="J68" i="16" s="1"/>
  <c r="B138" i="20"/>
  <c r="K54" i="23"/>
  <c r="N54" i="23" s="1"/>
  <c r="G51" i="16"/>
  <c r="J51" i="16" s="1"/>
  <c r="D14" i="16"/>
  <c r="D38" i="18"/>
  <c r="G33" i="18"/>
  <c r="R79" i="23"/>
  <c r="Q79" i="23"/>
  <c r="T78" i="23" s="1"/>
  <c r="J292" i="20"/>
  <c r="H292" i="20"/>
  <c r="F292" i="20"/>
  <c r="D292" i="20"/>
  <c r="F79" i="16"/>
  <c r="D156" i="18"/>
  <c r="D65" i="16" s="1"/>
  <c r="G155" i="18"/>
  <c r="G156" i="18" s="1"/>
  <c r="H124" i="20"/>
  <c r="F124" i="20"/>
  <c r="J124" i="20"/>
  <c r="D124" i="20"/>
  <c r="K51" i="23"/>
  <c r="N51" i="23" s="1"/>
  <c r="B135" i="20"/>
  <c r="G48" i="16"/>
  <c r="J48" i="16" s="1"/>
  <c r="D79" i="18"/>
  <c r="D34" i="16" s="1"/>
  <c r="G78" i="18"/>
  <c r="G79" i="18" s="1"/>
  <c r="D12" i="18"/>
  <c r="D7" i="16" s="1"/>
  <c r="G11" i="18"/>
  <c r="G12" i="18" s="1"/>
  <c r="K13" i="23"/>
  <c r="N13" i="23" s="1"/>
  <c r="B98" i="20"/>
  <c r="G10" i="16"/>
  <c r="J10" i="16" s="1"/>
  <c r="K78" i="23"/>
  <c r="N78" i="23" s="1"/>
  <c r="B163" i="20"/>
  <c r="G75" i="16"/>
  <c r="J75" i="16" s="1"/>
  <c r="D125" i="20"/>
  <c r="H125" i="20"/>
  <c r="J125" i="20"/>
  <c r="F125" i="20"/>
  <c r="D15" i="16"/>
  <c r="G34" i="18"/>
  <c r="R70" i="23"/>
  <c r="Q70" i="23"/>
  <c r="T70" i="23" s="1"/>
  <c r="M81" i="23"/>
  <c r="D57" i="16"/>
  <c r="G134" i="18"/>
  <c r="J81" i="23"/>
  <c r="J82" i="23" s="1"/>
  <c r="K35" i="23"/>
  <c r="N35" i="23" s="1"/>
  <c r="B120" i="20"/>
  <c r="G32" i="16"/>
  <c r="J32" i="16" s="1"/>
  <c r="B146" i="20"/>
  <c r="K62" i="23"/>
  <c r="N62" i="23" s="1"/>
  <c r="G59" i="16"/>
  <c r="J59" i="16" s="1"/>
  <c r="F54" i="17"/>
  <c r="D41" i="18"/>
  <c r="D19" i="16" s="1"/>
  <c r="G40" i="18"/>
  <c r="G41" i="18" s="1"/>
  <c r="K50" i="23"/>
  <c r="N50" i="23" s="1"/>
  <c r="B134" i="20"/>
  <c r="G47" i="16"/>
  <c r="G122" i="18"/>
  <c r="U69" i="28"/>
  <c r="V69" i="28"/>
  <c r="D342" i="20"/>
  <c r="J342" i="20"/>
  <c r="F342" i="20"/>
  <c r="H342" i="20"/>
  <c r="U64" i="28"/>
  <c r="V64" i="28"/>
  <c r="F323" i="20"/>
  <c r="D323" i="20"/>
  <c r="J323" i="20"/>
  <c r="H323" i="20"/>
  <c r="R41" i="23"/>
  <c r="Q41" i="23"/>
  <c r="T41" i="23" s="1"/>
  <c r="U9" i="28"/>
  <c r="V9" i="28"/>
  <c r="F294" i="20"/>
  <c r="H294" i="20"/>
  <c r="J294" i="20"/>
  <c r="D294" i="20"/>
  <c r="R74" i="28"/>
  <c r="S74" i="28" s="1"/>
  <c r="S56" i="28"/>
  <c r="R39" i="23"/>
  <c r="Q39" i="23"/>
  <c r="T39" i="23" s="1"/>
  <c r="H4" i="20"/>
  <c r="H77" i="20" s="1"/>
  <c r="B6" i="19" s="1"/>
  <c r="D4" i="20"/>
  <c r="D77" i="20" s="1"/>
  <c r="F4" i="20"/>
  <c r="F77" i="20" s="1"/>
  <c r="B5" i="19" s="1"/>
  <c r="J4" i="20"/>
  <c r="J77" i="20" s="1"/>
  <c r="B7" i="19" s="1"/>
  <c r="B77" i="20"/>
  <c r="D23" i="16"/>
  <c r="G50" i="18"/>
  <c r="K52" i="23"/>
  <c r="N52" i="23" s="1"/>
  <c r="B136" i="20"/>
  <c r="G49" i="16"/>
  <c r="J49" i="16" s="1"/>
  <c r="D316" i="20"/>
  <c r="H316" i="20"/>
  <c r="F316" i="20"/>
  <c r="J316" i="20"/>
  <c r="F336" i="20"/>
  <c r="J336" i="20"/>
  <c r="H336" i="20"/>
  <c r="D336" i="20"/>
  <c r="F296" i="20"/>
  <c r="J296" i="20"/>
  <c r="H296" i="20"/>
  <c r="D296" i="20"/>
  <c r="H8" i="31"/>
  <c r="J8" i="31"/>
  <c r="D171" i="18"/>
  <c r="D72" i="16" s="1"/>
  <c r="G170" i="18"/>
  <c r="G171" i="18" s="1"/>
  <c r="D276" i="20"/>
  <c r="F276" i="20"/>
  <c r="H276" i="20"/>
  <c r="J276" i="20"/>
  <c r="H278" i="20"/>
  <c r="D278" i="20"/>
  <c r="F278" i="20"/>
  <c r="J278" i="20"/>
  <c r="E7" i="31"/>
  <c r="N76" i="28"/>
  <c r="N75" i="28"/>
  <c r="D334" i="20"/>
  <c r="F334" i="20"/>
  <c r="J334" i="20"/>
  <c r="H334" i="20"/>
  <c r="D127" i="20"/>
  <c r="H127" i="20"/>
  <c r="F127" i="20"/>
  <c r="J127" i="20"/>
  <c r="F282" i="20"/>
  <c r="J282" i="20"/>
  <c r="D282" i="20"/>
  <c r="H282" i="20"/>
  <c r="B128" i="20"/>
  <c r="K42" i="23"/>
  <c r="N42" i="23" s="1"/>
  <c r="G39" i="16"/>
  <c r="J39" i="16" s="1"/>
  <c r="H159" i="20"/>
  <c r="J159" i="20"/>
  <c r="D159" i="20"/>
  <c r="F159" i="20"/>
  <c r="U59" i="28"/>
  <c r="V59" i="28"/>
  <c r="D56" i="16"/>
  <c r="G133" i="18"/>
  <c r="D135" i="18"/>
  <c r="B147" i="20" l="1"/>
  <c r="K63" i="23"/>
  <c r="N63" i="23" s="1"/>
  <c r="G60" i="16"/>
  <c r="J60" i="16" s="1"/>
  <c r="D186" i="18"/>
  <c r="D187" i="18" s="1"/>
  <c r="G140" i="18"/>
  <c r="M82" i="23"/>
  <c r="Q46" i="23"/>
  <c r="T46" i="23" s="1"/>
  <c r="F80" i="16"/>
  <c r="J256" i="20"/>
  <c r="D7" i="19" s="1"/>
  <c r="L10" i="24" s="1"/>
  <c r="D256" i="20"/>
  <c r="H256" i="20"/>
  <c r="D6" i="19" s="1"/>
  <c r="L9" i="24" s="1"/>
  <c r="F256" i="20"/>
  <c r="D5" i="19" s="1"/>
  <c r="L8" i="24" s="1"/>
  <c r="B137" i="20"/>
  <c r="H137" i="20" s="1"/>
  <c r="G50" i="16"/>
  <c r="J50" i="16" s="1"/>
  <c r="B145" i="20"/>
  <c r="F145" i="20" s="1"/>
  <c r="K61" i="23"/>
  <c r="N61" i="23" s="1"/>
  <c r="R61" i="23" s="1"/>
  <c r="K40" i="23"/>
  <c r="N40" i="23" s="1"/>
  <c r="Q40" i="23" s="1"/>
  <c r="T40" i="23" s="1"/>
  <c r="B126" i="20"/>
  <c r="J126" i="20" s="1"/>
  <c r="D164" i="20"/>
  <c r="H164" i="20"/>
  <c r="F164" i="20"/>
  <c r="J10" i="24"/>
  <c r="C6" i="21"/>
  <c r="K77" i="23"/>
  <c r="N77" i="23" s="1"/>
  <c r="Q77" i="23" s="1"/>
  <c r="T77" i="23" s="1"/>
  <c r="K55" i="23"/>
  <c r="N55" i="23" s="1"/>
  <c r="Q55" i="23" s="1"/>
  <c r="T55" i="23" s="1"/>
  <c r="B162" i="20"/>
  <c r="H162" i="20" s="1"/>
  <c r="B139" i="20"/>
  <c r="J139" i="20" s="1"/>
  <c r="G165" i="18"/>
  <c r="F155" i="20"/>
  <c r="R74" i="23"/>
  <c r="G54" i="16"/>
  <c r="J54" i="16" s="1"/>
  <c r="H155" i="20"/>
  <c r="J155" i="20"/>
  <c r="Q31" i="23"/>
  <c r="T31" i="23" s="1"/>
  <c r="R69" i="23"/>
  <c r="K57" i="23"/>
  <c r="N57" i="23" s="1"/>
  <c r="Q57" i="23" s="1"/>
  <c r="T57" i="23" s="1"/>
  <c r="G99" i="18"/>
  <c r="H116" i="20"/>
  <c r="G16" i="18"/>
  <c r="D78" i="16"/>
  <c r="G59" i="18"/>
  <c r="F116" i="20"/>
  <c r="J116" i="20"/>
  <c r="G55" i="18"/>
  <c r="G135" i="18"/>
  <c r="K30" i="23"/>
  <c r="N30" i="23" s="1"/>
  <c r="B115" i="20"/>
  <c r="G27" i="16"/>
  <c r="J27" i="16" s="1"/>
  <c r="K12" i="23"/>
  <c r="N12" i="23" s="1"/>
  <c r="G9" i="16"/>
  <c r="J9" i="16" s="1"/>
  <c r="B97" i="20"/>
  <c r="K44" i="23"/>
  <c r="N44" i="23" s="1"/>
  <c r="B130" i="20"/>
  <c r="G41" i="16"/>
  <c r="J41" i="16" s="1"/>
  <c r="G25" i="16"/>
  <c r="J25" i="16" s="1"/>
  <c r="B113" i="20"/>
  <c r="K28" i="23"/>
  <c r="N28" i="23" s="1"/>
  <c r="G8" i="16"/>
  <c r="J8" i="16" s="1"/>
  <c r="K11" i="23"/>
  <c r="N11" i="23" s="1"/>
  <c r="R11" i="23" s="1"/>
  <c r="B96" i="20"/>
  <c r="B114" i="20"/>
  <c r="K29" i="23"/>
  <c r="N29" i="23" s="1"/>
  <c r="G26" i="16"/>
  <c r="J26" i="16" s="1"/>
  <c r="K27" i="23"/>
  <c r="N27" i="23" s="1"/>
  <c r="B112" i="20"/>
  <c r="G24" i="16"/>
  <c r="J24" i="16" s="1"/>
  <c r="K33" i="23"/>
  <c r="N33" i="23" s="1"/>
  <c r="B118" i="20"/>
  <c r="G30" i="16"/>
  <c r="J30" i="16" s="1"/>
  <c r="K43" i="23"/>
  <c r="N43" i="23" s="1"/>
  <c r="B129" i="20"/>
  <c r="G40" i="16"/>
  <c r="J40" i="16" s="1"/>
  <c r="B131" i="20"/>
  <c r="G42" i="16"/>
  <c r="J42" i="16" s="1"/>
  <c r="K45" i="23"/>
  <c r="N45" i="23" s="1"/>
  <c r="K24" i="23"/>
  <c r="N24" i="23" s="1"/>
  <c r="J21" i="16"/>
  <c r="B109" i="20"/>
  <c r="K32" i="23"/>
  <c r="N32" i="23" s="1"/>
  <c r="B117" i="20"/>
  <c r="G29" i="16"/>
  <c r="J29" i="16" s="1"/>
  <c r="G51" i="18"/>
  <c r="R54" i="23"/>
  <c r="Q54" i="23"/>
  <c r="T54" i="23" s="1"/>
  <c r="B108" i="20"/>
  <c r="K23" i="23"/>
  <c r="N23" i="23" s="1"/>
  <c r="G20" i="16"/>
  <c r="J20" i="16" s="1"/>
  <c r="R42" i="23"/>
  <c r="Q42" i="23"/>
  <c r="T42" i="23" s="1"/>
  <c r="B111" i="20"/>
  <c r="K26" i="23"/>
  <c r="N26" i="23" s="1"/>
  <c r="G23" i="16"/>
  <c r="J23" i="16" s="1"/>
  <c r="D99" i="20"/>
  <c r="H99" i="20"/>
  <c r="J99" i="20"/>
  <c r="F99" i="20"/>
  <c r="H165" i="20"/>
  <c r="F165" i="20"/>
  <c r="J165" i="20"/>
  <c r="D165" i="20"/>
  <c r="R65" i="23"/>
  <c r="Q65" i="23"/>
  <c r="T65" i="23" s="1"/>
  <c r="J47" i="16"/>
  <c r="H157" i="20"/>
  <c r="F157" i="20"/>
  <c r="J157" i="20"/>
  <c r="D157" i="20"/>
  <c r="D128" i="20"/>
  <c r="F128" i="20"/>
  <c r="J128" i="20"/>
  <c r="H128" i="20"/>
  <c r="D161" i="20"/>
  <c r="H161" i="20"/>
  <c r="F161" i="20"/>
  <c r="J161" i="20"/>
  <c r="H346" i="20"/>
  <c r="E6" i="19" s="1"/>
  <c r="R80" i="23"/>
  <c r="Q80" i="23"/>
  <c r="H149" i="20"/>
  <c r="D149" i="20"/>
  <c r="F149" i="20"/>
  <c r="J149" i="20"/>
  <c r="H120" i="20"/>
  <c r="D120" i="20"/>
  <c r="J120" i="20"/>
  <c r="F120" i="20"/>
  <c r="J8" i="24"/>
  <c r="R35" i="23"/>
  <c r="Q35" i="23"/>
  <c r="T35" i="23" s="1"/>
  <c r="D158" i="20"/>
  <c r="F158" i="20"/>
  <c r="J158" i="20"/>
  <c r="H158" i="20"/>
  <c r="K56" i="23"/>
  <c r="N56" i="23" s="1"/>
  <c r="B140" i="20"/>
  <c r="G53" i="16"/>
  <c r="J53" i="16" s="1"/>
  <c r="K18" i="23"/>
  <c r="N18" i="23" s="1"/>
  <c r="B103" i="20"/>
  <c r="G15" i="16"/>
  <c r="J15" i="16" s="1"/>
  <c r="K68" i="23"/>
  <c r="N68" i="23" s="1"/>
  <c r="B152" i="20"/>
  <c r="G65" i="16"/>
  <c r="J65" i="16" s="1"/>
  <c r="C5" i="21"/>
  <c r="J9" i="24"/>
  <c r="D98" i="20"/>
  <c r="H98" i="20"/>
  <c r="F98" i="20"/>
  <c r="J98" i="20"/>
  <c r="J142" i="20"/>
  <c r="F142" i="20"/>
  <c r="D142" i="20"/>
  <c r="H142" i="20"/>
  <c r="Q13" i="23"/>
  <c r="T13" i="23" s="1"/>
  <c r="R13" i="23"/>
  <c r="K60" i="23"/>
  <c r="N60" i="23" s="1"/>
  <c r="B144" i="20"/>
  <c r="G57" i="16"/>
  <c r="J57" i="16" s="1"/>
  <c r="G38" i="18"/>
  <c r="R71" i="23"/>
  <c r="Q71" i="23"/>
  <c r="T71" i="23" s="1"/>
  <c r="K25" i="23"/>
  <c r="N25" i="23" s="1"/>
  <c r="B110" i="20"/>
  <c r="G22" i="16"/>
  <c r="J22" i="16" s="1"/>
  <c r="D5" i="16"/>
  <c r="D44" i="16" s="1"/>
  <c r="B104" i="20"/>
  <c r="K19" i="23"/>
  <c r="N19" i="23" s="1"/>
  <c r="G16" i="16"/>
  <c r="J16" i="16" s="1"/>
  <c r="B101" i="20"/>
  <c r="K16" i="23"/>
  <c r="N16" i="23" s="1"/>
  <c r="G13" i="16"/>
  <c r="J13" i="16" s="1"/>
  <c r="B160" i="20"/>
  <c r="K75" i="23"/>
  <c r="N75" i="23" s="1"/>
  <c r="G72" i="16"/>
  <c r="J72" i="16" s="1"/>
  <c r="B95" i="20"/>
  <c r="K10" i="23"/>
  <c r="N10" i="23" s="1"/>
  <c r="G7" i="16"/>
  <c r="J7" i="16" s="1"/>
  <c r="R36" i="23"/>
  <c r="Q36" i="23"/>
  <c r="T36" i="23" s="1"/>
  <c r="D150" i="20"/>
  <c r="J150" i="20"/>
  <c r="H150" i="20"/>
  <c r="F150" i="20"/>
  <c r="B151" i="20"/>
  <c r="K67" i="23"/>
  <c r="N67" i="23" s="1"/>
  <c r="G64" i="16"/>
  <c r="J64" i="16" s="1"/>
  <c r="K22" i="23"/>
  <c r="N22" i="23" s="1"/>
  <c r="B107" i="20"/>
  <c r="G19" i="16"/>
  <c r="J19" i="16" s="1"/>
  <c r="Q76" i="23"/>
  <c r="T76" i="23" s="1"/>
  <c r="R76" i="23"/>
  <c r="T72" i="23"/>
  <c r="R72" i="23"/>
  <c r="B143" i="20"/>
  <c r="K59" i="23"/>
  <c r="N59" i="23" s="1"/>
  <c r="G56" i="16"/>
  <c r="J56" i="16" s="1"/>
  <c r="H134" i="20"/>
  <c r="F134" i="20"/>
  <c r="J134" i="20"/>
  <c r="D134" i="20"/>
  <c r="R75" i="28"/>
  <c r="S38" i="28"/>
  <c r="Q58" i="23"/>
  <c r="T58" i="23" s="1"/>
  <c r="R58" i="23"/>
  <c r="J136" i="20"/>
  <c r="F136" i="20"/>
  <c r="H136" i="20"/>
  <c r="D136" i="20"/>
  <c r="Q62" i="23"/>
  <c r="T62" i="23" s="1"/>
  <c r="R62" i="23"/>
  <c r="J135" i="20"/>
  <c r="F135" i="20"/>
  <c r="H135" i="20"/>
  <c r="D135" i="20"/>
  <c r="K17" i="23"/>
  <c r="N17" i="23" s="1"/>
  <c r="G14" i="16"/>
  <c r="J14" i="16" s="1"/>
  <c r="B102" i="20"/>
  <c r="J346" i="20"/>
  <c r="E7" i="19" s="1"/>
  <c r="J122" i="20"/>
  <c r="H122" i="20"/>
  <c r="D122" i="20"/>
  <c r="F122" i="20"/>
  <c r="R66" i="23"/>
  <c r="Q66" i="23"/>
  <c r="T66" i="23" s="1"/>
  <c r="H119" i="20"/>
  <c r="J119" i="20"/>
  <c r="F119" i="20"/>
  <c r="D119" i="20"/>
  <c r="R73" i="23"/>
  <c r="Q73" i="23"/>
  <c r="T73" i="23" s="1"/>
  <c r="G7" i="31"/>
  <c r="E13" i="31"/>
  <c r="H138" i="20"/>
  <c r="F138" i="20"/>
  <c r="J138" i="20"/>
  <c r="D138" i="20"/>
  <c r="G9" i="31"/>
  <c r="F156" i="20"/>
  <c r="D156" i="20"/>
  <c r="J156" i="20"/>
  <c r="H156" i="20"/>
  <c r="Q52" i="23"/>
  <c r="T52" i="23" s="1"/>
  <c r="R52" i="23"/>
  <c r="V56" i="28"/>
  <c r="U56" i="28"/>
  <c r="J146" i="20"/>
  <c r="H146" i="20"/>
  <c r="F146" i="20"/>
  <c r="D146" i="20"/>
  <c r="F163" i="20"/>
  <c r="J163" i="20"/>
  <c r="D163" i="20"/>
  <c r="H163" i="20"/>
  <c r="B123" i="20"/>
  <c r="K37" i="23"/>
  <c r="N37" i="23" s="1"/>
  <c r="G34" i="16"/>
  <c r="J34" i="16" s="1"/>
  <c r="R51" i="23"/>
  <c r="Q51" i="23"/>
  <c r="T51" i="23" s="1"/>
  <c r="F346" i="20"/>
  <c r="E5" i="19" s="1"/>
  <c r="M8" i="24" s="1"/>
  <c r="Q34" i="23"/>
  <c r="T34" i="23" s="1"/>
  <c r="R34" i="23"/>
  <c r="D141" i="20"/>
  <c r="H141" i="20"/>
  <c r="J141" i="20"/>
  <c r="F141" i="20"/>
  <c r="B4" i="19"/>
  <c r="B8" i="19" s="1"/>
  <c r="B9" i="19" s="1"/>
  <c r="L77" i="20"/>
  <c r="B105" i="20"/>
  <c r="K20" i="23"/>
  <c r="N20" i="23" s="1"/>
  <c r="G17" i="16"/>
  <c r="J17" i="16" s="1"/>
  <c r="Q50" i="23"/>
  <c r="T50" i="23" s="1"/>
  <c r="R50" i="23"/>
  <c r="R78" i="23"/>
  <c r="Q78" i="23"/>
  <c r="D346" i="20"/>
  <c r="Q53" i="23"/>
  <c r="T53" i="23" s="1"/>
  <c r="R53" i="23"/>
  <c r="Q14" i="23"/>
  <c r="T14" i="23" s="1"/>
  <c r="R14" i="23"/>
  <c r="R63" i="23" l="1"/>
  <c r="Q63" i="23"/>
  <c r="T63" i="23" s="1"/>
  <c r="G186" i="18"/>
  <c r="J147" i="20"/>
  <c r="D147" i="20"/>
  <c r="F147" i="20"/>
  <c r="H147" i="20"/>
  <c r="H145" i="20"/>
  <c r="E6" i="21"/>
  <c r="L9" i="25" s="1"/>
  <c r="L256" i="20"/>
  <c r="H126" i="20"/>
  <c r="J145" i="20"/>
  <c r="D145" i="20"/>
  <c r="D4" i="19"/>
  <c r="D8" i="19" s="1"/>
  <c r="R40" i="23"/>
  <c r="Q61" i="23"/>
  <c r="T61" i="23" s="1"/>
  <c r="F126" i="20"/>
  <c r="D126" i="20"/>
  <c r="E5" i="21"/>
  <c r="L8" i="25" s="1"/>
  <c r="D137" i="20"/>
  <c r="J137" i="20"/>
  <c r="F137" i="20"/>
  <c r="R77" i="23"/>
  <c r="H139" i="20"/>
  <c r="F139" i="20"/>
  <c r="D139" i="20"/>
  <c r="D162" i="20"/>
  <c r="F162" i="20"/>
  <c r="J162" i="20"/>
  <c r="M10" i="24"/>
  <c r="F6" i="21"/>
  <c r="R55" i="23"/>
  <c r="J9" i="25"/>
  <c r="B9" i="22"/>
  <c r="Q29" i="23"/>
  <c r="T29" i="23" s="1"/>
  <c r="R29" i="23"/>
  <c r="R57" i="23"/>
  <c r="Q11" i="23"/>
  <c r="T11" i="23" s="1"/>
  <c r="J109" i="20"/>
  <c r="D109" i="20"/>
  <c r="F109" i="20"/>
  <c r="H109" i="20"/>
  <c r="D112" i="20"/>
  <c r="H112" i="20"/>
  <c r="J112" i="20"/>
  <c r="F112" i="20"/>
  <c r="Q24" i="23"/>
  <c r="R24" i="23"/>
  <c r="H131" i="20"/>
  <c r="J131" i="20"/>
  <c r="F131" i="20"/>
  <c r="D131" i="20"/>
  <c r="H114" i="20"/>
  <c r="D114" i="20"/>
  <c r="F114" i="20"/>
  <c r="J114" i="20"/>
  <c r="Q44" i="23"/>
  <c r="T44" i="23" s="1"/>
  <c r="R44" i="23"/>
  <c r="H129" i="20"/>
  <c r="D129" i="20"/>
  <c r="F129" i="20"/>
  <c r="J129" i="20"/>
  <c r="Q45" i="23"/>
  <c r="T45" i="23" s="1"/>
  <c r="R45" i="23"/>
  <c r="J97" i="20"/>
  <c r="D97" i="20"/>
  <c r="F97" i="20"/>
  <c r="H97" i="20"/>
  <c r="Q43" i="23"/>
  <c r="T43" i="23" s="1"/>
  <c r="R43" i="23"/>
  <c r="R12" i="23"/>
  <c r="Q12" i="23"/>
  <c r="T12" i="23" s="1"/>
  <c r="R28" i="23"/>
  <c r="Q28" i="23"/>
  <c r="T28" i="23" s="1"/>
  <c r="R27" i="23"/>
  <c r="Q27" i="23"/>
  <c r="T27" i="23" s="1"/>
  <c r="H117" i="20"/>
  <c r="F117" i="20"/>
  <c r="J117" i="20"/>
  <c r="D117" i="20"/>
  <c r="H118" i="20"/>
  <c r="D118" i="20"/>
  <c r="F118" i="20"/>
  <c r="J118" i="20"/>
  <c r="J113" i="20"/>
  <c r="H113" i="20"/>
  <c r="D113" i="20"/>
  <c r="F113" i="20"/>
  <c r="H115" i="20"/>
  <c r="D115" i="20"/>
  <c r="J115" i="20"/>
  <c r="F115" i="20"/>
  <c r="D130" i="20"/>
  <c r="H130" i="20"/>
  <c r="J130" i="20"/>
  <c r="F130" i="20"/>
  <c r="H96" i="20"/>
  <c r="D96" i="20"/>
  <c r="F96" i="20"/>
  <c r="J96" i="20"/>
  <c r="Q32" i="23"/>
  <c r="T32" i="23" s="1"/>
  <c r="R32" i="23"/>
  <c r="Q33" i="23"/>
  <c r="T33" i="23" s="1"/>
  <c r="R33" i="23"/>
  <c r="R30" i="23"/>
  <c r="Q30" i="23"/>
  <c r="T30" i="23" s="1"/>
  <c r="J7" i="24"/>
  <c r="C4" i="21"/>
  <c r="J123" i="20"/>
  <c r="H123" i="20"/>
  <c r="F123" i="20"/>
  <c r="D123" i="20"/>
  <c r="Q10" i="23"/>
  <c r="T10" i="23" s="1"/>
  <c r="R10" i="23"/>
  <c r="D152" i="20"/>
  <c r="J152" i="20"/>
  <c r="H152" i="20"/>
  <c r="F152" i="20"/>
  <c r="Q67" i="23"/>
  <c r="T67" i="23" s="1"/>
  <c r="R67" i="23"/>
  <c r="D95" i="20"/>
  <c r="J95" i="20"/>
  <c r="F95" i="20"/>
  <c r="H95" i="20"/>
  <c r="B93" i="20"/>
  <c r="D79" i="16"/>
  <c r="K8" i="23"/>
  <c r="G5" i="16"/>
  <c r="G44" i="16" s="1"/>
  <c r="R68" i="23"/>
  <c r="Q68" i="23"/>
  <c r="T68" i="23" s="1"/>
  <c r="H160" i="20"/>
  <c r="D160" i="20"/>
  <c r="J160" i="20"/>
  <c r="F160" i="20"/>
  <c r="H111" i="20"/>
  <c r="D111" i="20"/>
  <c r="F111" i="20"/>
  <c r="J111" i="20"/>
  <c r="Q16" i="23"/>
  <c r="T16" i="23" s="1"/>
  <c r="R16" i="23"/>
  <c r="H144" i="20"/>
  <c r="D144" i="20"/>
  <c r="F144" i="20"/>
  <c r="J144" i="20"/>
  <c r="J140" i="20"/>
  <c r="H140" i="20"/>
  <c r="F140" i="20"/>
  <c r="D140" i="20"/>
  <c r="F5" i="21"/>
  <c r="M9" i="24"/>
  <c r="F151" i="20"/>
  <c r="D151" i="20"/>
  <c r="H151" i="20"/>
  <c r="J151" i="20"/>
  <c r="T80" i="23"/>
  <c r="T79" i="23"/>
  <c r="H143" i="20"/>
  <c r="J143" i="20"/>
  <c r="D143" i="20"/>
  <c r="F143" i="20"/>
  <c r="Q60" i="23"/>
  <c r="T60" i="23" s="1"/>
  <c r="R60" i="23"/>
  <c r="D102" i="20"/>
  <c r="F102" i="20"/>
  <c r="H102" i="20"/>
  <c r="J102" i="20"/>
  <c r="F12" i="31"/>
  <c r="S75" i="28"/>
  <c r="F110" i="20"/>
  <c r="H110" i="20"/>
  <c r="J110" i="20"/>
  <c r="D110" i="20"/>
  <c r="Q23" i="23"/>
  <c r="T23" i="23" s="1"/>
  <c r="R23" i="23"/>
  <c r="L346" i="20"/>
  <c r="E4" i="19"/>
  <c r="E8" i="19" s="1"/>
  <c r="Q59" i="23"/>
  <c r="T59" i="23" s="1"/>
  <c r="R59" i="23"/>
  <c r="Q26" i="23"/>
  <c r="T26" i="23" s="1"/>
  <c r="R26" i="23"/>
  <c r="H7" i="31"/>
  <c r="H13" i="31" s="1"/>
  <c r="J7" i="31"/>
  <c r="F101" i="20"/>
  <c r="H101" i="20"/>
  <c r="D101" i="20"/>
  <c r="J101" i="20"/>
  <c r="R20" i="23"/>
  <c r="Q20" i="23"/>
  <c r="T20" i="23" s="1"/>
  <c r="R19" i="23"/>
  <c r="Q19" i="23"/>
  <c r="T19" i="23" s="1"/>
  <c r="Q25" i="23"/>
  <c r="T25" i="23" s="1"/>
  <c r="R25" i="23"/>
  <c r="J8" i="25"/>
  <c r="F108" i="20"/>
  <c r="D108" i="20"/>
  <c r="H108" i="20"/>
  <c r="J108" i="20"/>
  <c r="Q75" i="23"/>
  <c r="T75" i="23" s="1"/>
  <c r="R75" i="23"/>
  <c r="H103" i="20"/>
  <c r="J103" i="20"/>
  <c r="D103" i="20"/>
  <c r="F103" i="20"/>
  <c r="J105" i="20"/>
  <c r="F105" i="20"/>
  <c r="H105" i="20"/>
  <c r="D105" i="20"/>
  <c r="I9" i="31"/>
  <c r="J9" i="31"/>
  <c r="R17" i="23"/>
  <c r="Q17" i="23"/>
  <c r="T17" i="23" s="1"/>
  <c r="D107" i="20"/>
  <c r="J107" i="20"/>
  <c r="H107" i="20"/>
  <c r="F107" i="20"/>
  <c r="H104" i="20"/>
  <c r="J104" i="20"/>
  <c r="D104" i="20"/>
  <c r="F104" i="20"/>
  <c r="G78" i="16"/>
  <c r="R18" i="23"/>
  <c r="Q18" i="23"/>
  <c r="T18" i="23" s="1"/>
  <c r="Q56" i="23"/>
  <c r="T56" i="23" s="1"/>
  <c r="R56" i="23"/>
  <c r="R37" i="23"/>
  <c r="Q37" i="23"/>
  <c r="T37" i="23" s="1"/>
  <c r="Q22" i="23"/>
  <c r="T22" i="23" s="1"/>
  <c r="R22" i="23"/>
  <c r="D9" i="22" l="1"/>
  <c r="L11" i="26" s="1"/>
  <c r="E4" i="21"/>
  <c r="L7" i="25" s="1"/>
  <c r="L10" i="25" s="1"/>
  <c r="L7" i="24"/>
  <c r="L11" i="24" s="1"/>
  <c r="E9" i="19"/>
  <c r="E10" i="19" s="1"/>
  <c r="B5" i="22"/>
  <c r="C7" i="21"/>
  <c r="M9" i="25"/>
  <c r="E9" i="22"/>
  <c r="M11" i="26" s="1"/>
  <c r="T24" i="23"/>
  <c r="G79" i="16"/>
  <c r="J5" i="16"/>
  <c r="K81" i="23"/>
  <c r="K82" i="23" s="1"/>
  <c r="N8" i="23"/>
  <c r="G12" i="31"/>
  <c r="F13" i="31"/>
  <c r="F4" i="21"/>
  <c r="M7" i="24"/>
  <c r="M11" i="24" s="1"/>
  <c r="J7" i="25"/>
  <c r="M8" i="25"/>
  <c r="S76" i="28"/>
  <c r="J11" i="26"/>
  <c r="H93" i="20"/>
  <c r="H166" i="20" s="1"/>
  <c r="C6" i="19" s="1"/>
  <c r="B166" i="20"/>
  <c r="B348" i="20" s="1"/>
  <c r="J93" i="20"/>
  <c r="J166" i="20" s="1"/>
  <c r="C7" i="19" s="1"/>
  <c r="F7" i="19" s="1"/>
  <c r="I7" i="19" s="1"/>
  <c r="D93" i="20"/>
  <c r="D166" i="20" s="1"/>
  <c r="F93" i="20"/>
  <c r="F166" i="20" s="1"/>
  <c r="C5" i="19" s="1"/>
  <c r="J11" i="24"/>
  <c r="M12" i="24" l="1"/>
  <c r="D5" i="22"/>
  <c r="L7" i="26" s="1"/>
  <c r="L13" i="26" s="1"/>
  <c r="E7" i="21"/>
  <c r="K10" i="24"/>
  <c r="N10" i="24" s="1"/>
  <c r="D6" i="21"/>
  <c r="G6" i="21" s="1"/>
  <c r="J6" i="21" s="1"/>
  <c r="E5" i="22"/>
  <c r="F7" i="21"/>
  <c r="D5" i="21"/>
  <c r="K9" i="24"/>
  <c r="N9" i="24" s="1"/>
  <c r="F6" i="19"/>
  <c r="I6" i="19" s="1"/>
  <c r="K8" i="24"/>
  <c r="N8" i="24" s="1"/>
  <c r="F5" i="19"/>
  <c r="I5" i="19" s="1"/>
  <c r="L166" i="20"/>
  <c r="L348" i="20" s="1"/>
  <c r="C4" i="19"/>
  <c r="C8" i="19" s="1"/>
  <c r="J10" i="25"/>
  <c r="M7" i="25"/>
  <c r="M10" i="25" s="1"/>
  <c r="M11" i="25" s="1"/>
  <c r="J12" i="31"/>
  <c r="J13" i="31" s="1"/>
  <c r="I12" i="31"/>
  <c r="I13" i="31" s="1"/>
  <c r="G13" i="31"/>
  <c r="R8" i="23"/>
  <c r="N81" i="23"/>
  <c r="Q8" i="23"/>
  <c r="Q81" i="23" s="1"/>
  <c r="J7" i="26"/>
  <c r="B11" i="22"/>
  <c r="F8" i="21" l="1"/>
  <c r="D11" i="22"/>
  <c r="R10" i="24"/>
  <c r="Q10" i="24"/>
  <c r="T10" i="24" s="1"/>
  <c r="K9" i="25"/>
  <c r="N9" i="25" s="1"/>
  <c r="C9" i="22"/>
  <c r="R8" i="24"/>
  <c r="Q8" i="24"/>
  <c r="T8" i="24" s="1"/>
  <c r="Q9" i="24"/>
  <c r="T9" i="24" s="1"/>
  <c r="R9" i="24"/>
  <c r="M7" i="26"/>
  <c r="M13" i="26" s="1"/>
  <c r="M14" i="26" s="1"/>
  <c r="E11" i="22"/>
  <c r="D4" i="21"/>
  <c r="K7" i="24"/>
  <c r="F4" i="19"/>
  <c r="F8" i="19" s="1"/>
  <c r="T8" i="23"/>
  <c r="K8" i="25"/>
  <c r="N8" i="25" s="1"/>
  <c r="G5" i="21"/>
  <c r="J5" i="21" s="1"/>
  <c r="J13" i="26"/>
  <c r="E12" i="22" l="1"/>
  <c r="R9" i="25"/>
  <c r="Q9" i="25"/>
  <c r="T9" i="25" s="1"/>
  <c r="C5" i="22"/>
  <c r="D7" i="21"/>
  <c r="K7" i="25"/>
  <c r="G4" i="21"/>
  <c r="G7" i="21" s="1"/>
  <c r="Q8" i="25"/>
  <c r="T8" i="25" s="1"/>
  <c r="R8" i="25"/>
  <c r="K11" i="26"/>
  <c r="N11" i="26" s="1"/>
  <c r="F9" i="22"/>
  <c r="I9" i="22" s="1"/>
  <c r="I4" i="19"/>
  <c r="I8" i="19" s="1"/>
  <c r="K11" i="24"/>
  <c r="N7" i="24"/>
  <c r="Q11" i="26" l="1"/>
  <c r="T11" i="26" s="1"/>
  <c r="R11" i="26"/>
  <c r="J4" i="21"/>
  <c r="J7" i="21" s="1"/>
  <c r="K10" i="25"/>
  <c r="N7" i="25"/>
  <c r="Q7" i="24"/>
  <c r="N11" i="24"/>
  <c r="R7" i="24"/>
  <c r="R11" i="24" s="1"/>
  <c r="C11" i="22"/>
  <c r="K7" i="26"/>
  <c r="F5" i="22"/>
  <c r="K13" i="26" l="1"/>
  <c r="N7" i="26"/>
  <c r="N10" i="25"/>
  <c r="R7" i="25"/>
  <c r="Q7" i="25"/>
  <c r="F11" i="22"/>
  <c r="I5" i="22"/>
  <c r="I11" i="22" s="1"/>
  <c r="T7" i="24"/>
  <c r="T11" i="24" s="1"/>
  <c r="Q11" i="24"/>
  <c r="T7" i="25" l="1"/>
  <c r="Q10" i="25"/>
  <c r="Q7" i="26"/>
  <c r="R7" i="26"/>
  <c r="N13" i="26"/>
  <c r="Q13" i="26" l="1"/>
  <c r="T7" i="26"/>
</calcChain>
</file>

<file path=xl/sharedStrings.xml><?xml version="1.0" encoding="utf-8"?>
<sst xmlns="http://schemas.openxmlformats.org/spreadsheetml/2006/main" count="37376" uniqueCount="1587">
  <si>
    <t>งบกลาง</t>
  </si>
  <si>
    <t>รวม</t>
  </si>
  <si>
    <t>เงินนอกงบประมาณ</t>
  </si>
  <si>
    <t>เงินในงบประมาณ</t>
  </si>
  <si>
    <t>(หน่วย : บาท)</t>
  </si>
  <si>
    <t>ประเภทค่าใช้จ่าย</t>
  </si>
  <si>
    <t>1.</t>
  </si>
  <si>
    <t>ค่าใช้จ่ายบุคลากร</t>
  </si>
  <si>
    <t>2.</t>
  </si>
  <si>
    <t>ค่าใช้จ่ายด้านการฝึกอบรม</t>
  </si>
  <si>
    <t>3</t>
  </si>
  <si>
    <t>ค่าใช้จ่ายเดินทาง</t>
  </si>
  <si>
    <t>4</t>
  </si>
  <si>
    <t xml:space="preserve">ค่าตอบแทนใช้สอยและวัสดุ </t>
  </si>
  <si>
    <t>5</t>
  </si>
  <si>
    <t>ค่าสาธารณูปโภค</t>
  </si>
  <si>
    <t>6</t>
  </si>
  <si>
    <t>ค่าจ้างเหมา</t>
  </si>
  <si>
    <t>7</t>
  </si>
  <si>
    <t>ค่าเสื่อมราคา และค่าตัดจำหน่าย</t>
  </si>
  <si>
    <t>8</t>
  </si>
  <si>
    <t>หนี้สูญ หนีสงสัยจะสูญ</t>
  </si>
  <si>
    <t>9</t>
  </si>
  <si>
    <t>ค่าใช้จ่ายดำเนินงานรักษาความมั่นคงของประเทศ</t>
  </si>
  <si>
    <t>10</t>
  </si>
  <si>
    <t>ค่าใช้จ่ายเงินอุดหนุน</t>
  </si>
  <si>
    <t>11</t>
  </si>
  <si>
    <t>ค่าใช้จ่ายสวัสดิการสังคม</t>
  </si>
  <si>
    <t>12</t>
  </si>
  <si>
    <t>ต้นทุนในการผลิตผลผลิตอื่น(ค่าใช้จ่ายอื่น)</t>
  </si>
  <si>
    <t>รวมต้นทุนผลผลิต</t>
  </si>
  <si>
    <t>หมายเหตุ (อธิบายความแตกต่างระหว่างค่าใช้จ่ายในระบบ GFMIS และต้นทุนที่นำมาคำนวณต้นทุนผลผลิต)</t>
  </si>
  <si>
    <t xml:space="preserve">ค่าใช้จ่ายในระบบ GFMIS </t>
  </si>
  <si>
    <t>เงินเดือนลูกจ้างประจำ</t>
  </si>
  <si>
    <t>ค่ารักษาพยาบาลจ่ายตรง</t>
  </si>
  <si>
    <t>หัก</t>
  </si>
  <si>
    <r>
      <rPr>
        <b/>
        <sz val="16"/>
        <color indexed="8"/>
        <rFont val="TH SarabunPSK"/>
        <family val="2"/>
      </rPr>
      <t>บวก</t>
    </r>
    <r>
      <rPr>
        <sz val="16"/>
        <color indexed="8"/>
        <rFont val="TH SarabunPSK"/>
        <family val="2"/>
      </rPr>
      <t xml:space="preserve"> </t>
    </r>
  </si>
  <si>
    <t>กลุ่มบัญชี</t>
  </si>
  <si>
    <t>เงินใน</t>
  </si>
  <si>
    <t>เงินนอก</t>
  </si>
  <si>
    <t>5101</t>
  </si>
  <si>
    <t>5102</t>
  </si>
  <si>
    <t>5103</t>
  </si>
  <si>
    <t>5104</t>
  </si>
  <si>
    <t>5105</t>
  </si>
  <si>
    <t>5108</t>
  </si>
  <si>
    <t>5203</t>
  </si>
  <si>
    <t>F4</t>
  </si>
  <si>
    <t>name</t>
  </si>
  <si>
    <t>ยอดรวมของ SumOfF5</t>
  </si>
  <si>
    <t>5101010108</t>
  </si>
  <si>
    <t>ค่าล่วงเวลา</t>
  </si>
  <si>
    <t>5101010115</t>
  </si>
  <si>
    <t>เงินค่าตอบแทนพนักงานราชการ</t>
  </si>
  <si>
    <t>5101020106</t>
  </si>
  <si>
    <t>เงินสมทบกองทุนประกันสังคม</t>
  </si>
  <si>
    <t>5101030101</t>
  </si>
  <si>
    <t>เงินช่วยการศึกษาบุตร</t>
  </si>
  <si>
    <t>5101030205</t>
  </si>
  <si>
    <t>เงินช่วยค่ารักษาพยาบาลประเภทผู้ป่วยนอก-รพ.รัฐ</t>
  </si>
  <si>
    <t>5102010199</t>
  </si>
  <si>
    <t>ค่าใช้จ่ายด้านการฝึกอบรม-ในประเทศ</t>
  </si>
  <si>
    <t>5103010102</t>
  </si>
  <si>
    <t>ค่าเบี้ยเลี้ยง</t>
  </si>
  <si>
    <t>5103010103</t>
  </si>
  <si>
    <t>ค่าที่พัก</t>
  </si>
  <si>
    <t>5103010199</t>
  </si>
  <si>
    <t>ค่าใช้จ่ายเดินทางไปราชการ-ในประเทศ</t>
  </si>
  <si>
    <t>5104010104</t>
  </si>
  <si>
    <t>ค่าวัสดุ</t>
  </si>
  <si>
    <t>5104010107</t>
  </si>
  <si>
    <t>ค่าซ่อมแซมและค่าบำรุงรักษา</t>
  </si>
  <si>
    <t>5104010110</t>
  </si>
  <si>
    <t>ค่าเชื้อเพลิง</t>
  </si>
  <si>
    <t>5104010112</t>
  </si>
  <si>
    <t>ค่าจ้างเหมาบริการ-บุคคลภายนอก</t>
  </si>
  <si>
    <t>5104010115</t>
  </si>
  <si>
    <t>ค่าธรรมเนียมธนาคาร</t>
  </si>
  <si>
    <t>5104020101</t>
  </si>
  <si>
    <t>ค่าไฟฟ้า</t>
  </si>
  <si>
    <t>5104020103</t>
  </si>
  <si>
    <t>ค่าน้ำประปาและน้ำบาดาล</t>
  </si>
  <si>
    <t>5104020105</t>
  </si>
  <si>
    <t>ค่าโทรศัพท์</t>
  </si>
  <si>
    <t>5104020106</t>
  </si>
  <si>
    <t>ค่าบริการสื่อสารและโทรคมนาคม</t>
  </si>
  <si>
    <t>5104020107</t>
  </si>
  <si>
    <t>ค่าบริการไปรษณีย์โทรเลขและขนส่ง</t>
  </si>
  <si>
    <t>5104030206</t>
  </si>
  <si>
    <t>ค่าครุภัณฑ์มูลค่าต่ำกว่าเกณฑ์</t>
  </si>
  <si>
    <t>5104030219</t>
  </si>
  <si>
    <t>ค่าประชาสัมพันธ์</t>
  </si>
  <si>
    <t>5104030299</t>
  </si>
  <si>
    <t>ค่าใช้สอยอื่น ๆ</t>
  </si>
  <si>
    <t>5104040102</t>
  </si>
  <si>
    <t>ค่าตอบแทนเฉพาะงาน</t>
  </si>
  <si>
    <t>5105010101</t>
  </si>
  <si>
    <t>ค่าเสื่อมราคา-อาคารเพื่อการพักอาศัย</t>
  </si>
  <si>
    <t>5105010103</t>
  </si>
  <si>
    <t>ค่าเสื่อมราคา - อาคารสำนักงาน</t>
  </si>
  <si>
    <t>5105010105</t>
  </si>
  <si>
    <t>ค่าเสื่อมราคา - อาคารเพื่อประโยชน์อื่น</t>
  </si>
  <si>
    <t>5105010107</t>
  </si>
  <si>
    <t>ค่าเสื่อมราคา - สิ่งปลูกสร้าง</t>
  </si>
  <si>
    <t>5105010109</t>
  </si>
  <si>
    <t>ค่าเสื่อมราคา - ครุภัณฑ์สำนักงาน</t>
  </si>
  <si>
    <t>5105010111</t>
  </si>
  <si>
    <t>ค่าเสื่อมราคา -ครุภัณฑ์ยานพาหนะและอุปกรณ์การขนส่ง</t>
  </si>
  <si>
    <t>5105010113</t>
  </si>
  <si>
    <t>ค่าเสื่อมราคา - ครุภัณฑ์ไฟฟ้าและวิทยุ</t>
  </si>
  <si>
    <t>5105010115</t>
  </si>
  <si>
    <t>ค่าเสื่อมราคา - ครุภัณฑ์โฆษณาและเผยแพร่</t>
  </si>
  <si>
    <t>5105010117</t>
  </si>
  <si>
    <t>ค่าเสื่อมราคา - ครุภัณฑ์การเกษตร</t>
  </si>
  <si>
    <t>5105010119</t>
  </si>
  <si>
    <t>ค่าเสื่อมราคา - ครุภัณฑ์โรงงาน</t>
  </si>
  <si>
    <t>5105010125</t>
  </si>
  <si>
    <t>ค่าเสื่อมราคา - ครุภัณฑ์วิทยาศาสตร์และการแพทย์</t>
  </si>
  <si>
    <t>5105010127</t>
  </si>
  <si>
    <t>ค่าเสื่อมราคา - อุปกรณ์คอมพิวเตอร์</t>
  </si>
  <si>
    <t>5105010131</t>
  </si>
  <si>
    <t>ค่าเสื่อมราคา - ครุภัณฑ์งานบ้านงานครัว</t>
  </si>
  <si>
    <t>5105010148</t>
  </si>
  <si>
    <t>ค่าตัดจำหน่าย - โปรแกรมคอมพิวเตอร์</t>
  </si>
  <si>
    <t>5108010107</t>
  </si>
  <si>
    <t>หนี้สงสัยจะสูญ</t>
  </si>
  <si>
    <t>SumOfF5</t>
  </si>
  <si>
    <t>5101040204</t>
  </si>
  <si>
    <t>ค่ารักษาพยาบาลผู้ป่วยนอก-รพ.รัฐ-เบี้ยหวัด/บำนาญ</t>
  </si>
  <si>
    <t>5209010112</t>
  </si>
  <si>
    <t>TE-หน่วยงานส่งเงินเบิกเกินส่งคืนให้กรมบัญชีกลาง</t>
  </si>
  <si>
    <t>5210010102</t>
  </si>
  <si>
    <t>TE-หน่วยงานโอนเงินนอกงบประมาณให้กรมบัญชีกลาง</t>
  </si>
  <si>
    <t>5210010103</t>
  </si>
  <si>
    <t>TE-หน่วยงานโอนเงินรายได้แผ่นดินให้กรมบัญชีกลาง</t>
  </si>
  <si>
    <t>5210010105</t>
  </si>
  <si>
    <t>TE-ปรับเงินฝากคลัง</t>
  </si>
  <si>
    <t>ศ.ต้นทุน</t>
  </si>
  <si>
    <t>กิจกรรมหลัก</t>
  </si>
  <si>
    <t>สปก.ต้นทุน</t>
  </si>
  <si>
    <t>DocTyp</t>
  </si>
  <si>
    <t>ชื่อสปก.ต้นทุน</t>
  </si>
  <si>
    <t>PP</t>
  </si>
  <si>
    <t>RE</t>
  </si>
  <si>
    <t>JV</t>
  </si>
  <si>
    <t>ค่าตอบแทนพนง.ราชการ</t>
  </si>
  <si>
    <t>KZ</t>
  </si>
  <si>
    <t>KL</t>
  </si>
  <si>
    <t>เงินสมทบปปส.-Rel</t>
  </si>
  <si>
    <t>ค่ารักษา-นอก-รพ.รัฐ</t>
  </si>
  <si>
    <t>WE</t>
  </si>
  <si>
    <t>คชจ.อบรมในประเทศ</t>
  </si>
  <si>
    <t>คชจ.เดินทางภายในปท.</t>
  </si>
  <si>
    <t>KG</t>
  </si>
  <si>
    <t>ค่าซ่อมแซม&amp;บำรุงฯ</t>
  </si>
  <si>
    <t>ค่าธรรมเนียม</t>
  </si>
  <si>
    <t>KH</t>
  </si>
  <si>
    <t>ค่าประปา&amp;น้ำบาดาล</t>
  </si>
  <si>
    <t>ค่าบริการไปรษณีย์</t>
  </si>
  <si>
    <t>ค่าตอบแทนการปฏิบัติ</t>
  </si>
  <si>
    <t>AF</t>
  </si>
  <si>
    <t>ค่าเสื่อม-อาคาร</t>
  </si>
  <si>
    <t>ค่าเสื่อม-อาคารสนง.</t>
  </si>
  <si>
    <t>ค่าเสื่อม-อาคารอื่น</t>
  </si>
  <si>
    <t>ค่าเสื่อม-สิ่งปลูกฯ</t>
  </si>
  <si>
    <t>ค่าเสื่อม-ค.สนง.</t>
  </si>
  <si>
    <t>ค่าเสื่อม-ค.ไฟฟ้า</t>
  </si>
  <si>
    <t>ค่าเสื่อม-ค.โฆษณา</t>
  </si>
  <si>
    <t>ค่าเสื่อม-ค.เกษตร</t>
  </si>
  <si>
    <t>ค่าเสื่อม-ค.โรงงาน</t>
  </si>
  <si>
    <t>ค่าเสื่อม-ค.วิทย์ฯ</t>
  </si>
  <si>
    <t>ค่าเสื่อม-ค.คอมฯ</t>
  </si>
  <si>
    <t>ค่าเสื่อม-ค.ครัว</t>
  </si>
  <si>
    <t>ตัดจำหน่าย-software</t>
  </si>
  <si>
    <t>AA</t>
  </si>
  <si>
    <t>CJ</t>
  </si>
  <si>
    <t>T/Eเบิกเกินส่งคืน</t>
  </si>
  <si>
    <t>T/E-โอนเงินให้สรก.</t>
  </si>
  <si>
    <t>T/E-โอนร/ดผ/ดให้บก.</t>
  </si>
  <si>
    <t>J0</t>
  </si>
  <si>
    <t>T/E-ปรับเงินฝากคลัง</t>
  </si>
  <si>
    <t>5203010111</t>
  </si>
  <si>
    <t>ค่าจำหน่าย - ครุภัณฑ์สำนักงาน</t>
  </si>
  <si>
    <t>5203010119</t>
  </si>
  <si>
    <t>ค่าจำหน่าย - ครุภัณฑ์วิทยาศาสตร์และการแพทย์</t>
  </si>
  <si>
    <t>JZ</t>
  </si>
  <si>
    <t>จำหน่ายครุภัณฑ์สนง.</t>
  </si>
  <si>
    <t>เงินเดือนข้าราชการ</t>
  </si>
  <si>
    <t>P5200</t>
  </si>
  <si>
    <t>KN</t>
  </si>
  <si>
    <t>ง/ด&amp;ค่าจ้างอื่น</t>
  </si>
  <si>
    <t>เงินสมทบ กส.พนักงาน</t>
  </si>
  <si>
    <t>PZ</t>
  </si>
  <si>
    <t>คชจ.ในการประชุม</t>
  </si>
  <si>
    <t>210035200G4055</t>
  </si>
  <si>
    <t>210035200I4531</t>
  </si>
  <si>
    <t>210035200J4667</t>
  </si>
  <si>
    <t>210035200K4796</t>
  </si>
  <si>
    <t>210035200L5669</t>
  </si>
  <si>
    <t>210035200M5058</t>
  </si>
  <si>
    <t>210035200H4241</t>
  </si>
  <si>
    <t>210035200M5048</t>
  </si>
  <si>
    <t>ค่าเสื่อม-ค.กีฬา</t>
  </si>
  <si>
    <t>5101010199</t>
  </si>
  <si>
    <t>เงินเดือนและค่าจ้างอื่น</t>
  </si>
  <si>
    <t>5101020112</t>
  </si>
  <si>
    <t>เงินสมทบกองทุนสำรองเลี้ยงชีพพนักงานของรัฐ</t>
  </si>
  <si>
    <t>5104030207</t>
  </si>
  <si>
    <t>ค่าใช้จ่ายในการประชุม</t>
  </si>
  <si>
    <t>5105010121</t>
  </si>
  <si>
    <t>ค่าเสื่อมราคา - ครุภัณฑ์ก่อสร้าง</t>
  </si>
  <si>
    <t>5105010133</t>
  </si>
  <si>
    <t>ค่าเสื่อมราคา - ครุภัณฑ์กีฬา</t>
  </si>
  <si>
    <t>ศูนย์ต้นทุน</t>
  </si>
  <si>
    <t>เงินค่าครองชีพ</t>
  </si>
  <si>
    <t>KC</t>
  </si>
  <si>
    <t>BE</t>
  </si>
  <si>
    <t>ค่าใช้จ่ายอื่น</t>
  </si>
  <si>
    <t>ปรับหมวดรายจ่าย</t>
  </si>
  <si>
    <t>5212</t>
  </si>
  <si>
    <t>5101010116</t>
  </si>
  <si>
    <t>5212010199</t>
  </si>
  <si>
    <t>บัญชีค่าใช้จ่ายอื่น</t>
  </si>
  <si>
    <t>5301010101</t>
  </si>
  <si>
    <t>โรงพยาบาลมะเร็งลำปาง</t>
  </si>
  <si>
    <t>ตารางที่ 1.1 แสดงความเชื่อมโยงผลผลิตย่อย กิจกรรมย่อย</t>
  </si>
  <si>
    <t>ศูนย์ต้นทุนหลัก</t>
  </si>
  <si>
    <t>กิจกรรมย่อย</t>
  </si>
  <si>
    <t>ปริมาณ</t>
  </si>
  <si>
    <t>หน่วยนับ</t>
  </si>
  <si>
    <t>ผลผลิตย่อย</t>
  </si>
  <si>
    <t>ผลผลิตหลัก</t>
  </si>
  <si>
    <t>ราย</t>
  </si>
  <si>
    <t>1. การดูแลรักษาผู้ป่วยนอก</t>
  </si>
  <si>
    <t>1.พัฒนาการรักษาระดับตติยภูมิและสูงกว่า</t>
  </si>
  <si>
    <t>1. สถานบริการด้านสุขภาพและระบบ</t>
  </si>
  <si>
    <t>2. การดูแลรักษาผู้ป่วยใน</t>
  </si>
  <si>
    <t xml:space="preserve">2. ศึกษา วิจัย ประเมิน  พัฒนาและถ่ายทอดองค์ความรู้ </t>
  </si>
  <si>
    <t>เรื่อง</t>
  </si>
  <si>
    <t>เครือข่ายการส่งต่อในทุกระดับได้รับการ</t>
  </si>
  <si>
    <t xml:space="preserve">3. ศึกษา วิจัย ประเมิน  พัฒนาและถ่ายทอดองค์ความรู้ </t>
  </si>
  <si>
    <t>ครั้ง</t>
  </si>
  <si>
    <t>พัฒนาให้มีคุณภาพและครอบคลุม</t>
  </si>
  <si>
    <t>2 องค์ความรู้ด้านสุขภาพได้รับการศึกษา</t>
  </si>
  <si>
    <t>วิจัย และถ่ายทอด</t>
  </si>
  <si>
    <t>7.1 ให้บริการรักษาทุกระบบด้านรังสีรักษา</t>
  </si>
  <si>
    <t>10. กลุ่มงานพยาธิวิทยากายวิภาค</t>
  </si>
  <si>
    <t>10.1 บริการตรวจค้นหามะเร็งปากมดลูกทางเซลล์วิทยา</t>
  </si>
  <si>
    <t>11. กลุ่มงานเวชศาสตร์ประคับประคอง</t>
  </si>
  <si>
    <t>11.1 ให้การดูแลรักษา พยาบาลแก่ผู้ป่วยโดยทางยาและทางหัตถการ</t>
  </si>
  <si>
    <t>12.กลุ่มงานทันตกรรม</t>
  </si>
  <si>
    <t>12.1 ให้บริการผู้ป่วยนอก</t>
  </si>
  <si>
    <t>12.2 ให้บริการผู้ป่วยใน</t>
  </si>
  <si>
    <t>13. กลุ่มงานเภสัชกรรม</t>
  </si>
  <si>
    <t>13.1 จ่ายยาผู้ป่วยนอกตามใบสั่งยา</t>
  </si>
  <si>
    <t>13.2 จ่ายยาผู้ป่วยในตามใบสั่งยา</t>
  </si>
  <si>
    <t>14. กลุ่มงานโภชนศาสตร์</t>
  </si>
  <si>
    <t>14.1 ประเมินภาวะโภชนาการในผู้ป่วยที่มีปัญหาทุพโภชนาการ</t>
  </si>
  <si>
    <t>14.2 ให้โภชนศึกษาแก่ผู้ป่วยและญาติ</t>
  </si>
  <si>
    <t>15. กลุ่มงานธนาคารโลหิต</t>
  </si>
  <si>
    <t>15.1 รับบริจาคโลหิต</t>
  </si>
  <si>
    <t xml:space="preserve"> 15.2 งานตรวจผู้ป่วยเฉพาะทางโลหิตวิทยา</t>
  </si>
  <si>
    <t>16.กลุ่มงานเทคนิคการแพทย์</t>
  </si>
  <si>
    <t>16.1 บริการตรวจวินิจฉัยและค้นหาโรคมะเร็งงานพยาธิวิทยาคลีนิค</t>
  </si>
  <si>
    <t>17. กลุ่มงานบริการผู้ป่วยนอก</t>
  </si>
  <si>
    <t>17.1 ให้บริการรักษาผู้ป่วยนอกทั่วไป</t>
  </si>
  <si>
    <t>18. กลุ่มงานบริการผู้ป่วยใน</t>
  </si>
  <si>
    <t>18.1 ให้บริการรักษาผู้ป่วยใน</t>
  </si>
  <si>
    <t>19. กลุ่มงานวิชาการพยาบาล</t>
  </si>
  <si>
    <t>19.1 พัฒนาบุคลากรพยาบาล</t>
  </si>
  <si>
    <t>20. กลุ่มงานพยาบาลป้องกันและควบคุมการติดเชื้อ</t>
  </si>
  <si>
    <t>20.1 ส่งเสริมสุขภาพผู้ป่วยและญาติ</t>
  </si>
  <si>
    <t>21. กลุ่มงานพยาบาลหอผู้ป่วยหนักและห้องแยก</t>
  </si>
  <si>
    <t>21.1 ให้บริการดูแลผู้ป่วยโรคมะเร็ง</t>
  </si>
  <si>
    <t>22. กลุ่มงานพยาบาลรังสีรักษา</t>
  </si>
  <si>
    <t>22.1 ให้บริการรักษาผู้ป่วยโรคมะเร็งทุกระบบด้วยรังสีรักษา</t>
  </si>
  <si>
    <t>23. กลุ่มงานพยาบาลวิสัญญี</t>
  </si>
  <si>
    <t>23.1 ให้บริการการพยาบาลผู้ป่วยที่ได้รับการระงับความรู้สึกทุกประเภท</t>
  </si>
  <si>
    <t>24. กลุ่มงานพยาบาลส่งเสริมคุณภาพ</t>
  </si>
  <si>
    <t>24.1 ประสานเครือข่ายสุขภาพเพื่อพัฒนาคุณภาพผู้ป่วยโรคมะเร็ง</t>
  </si>
  <si>
    <t>25. กลุ่มงานพยาบาลห้องผ่าตัด</t>
  </si>
  <si>
    <t>25.1 การบริการผ่าตัดวินิจโรค ค้นหาโรคมะเร็ง</t>
  </si>
  <si>
    <t>26.งานจ่ายกลาง</t>
  </si>
  <si>
    <t>26.1 ล้างวัสดุและอุปกรณ์การแพทย์</t>
  </si>
  <si>
    <t>26.2 ทำให้ปราศจากเชื้อโรคการนึ่งไอน้ำ</t>
  </si>
  <si>
    <t>27. กลุ่มงานพยาบาลผู้ป่วยเคมีบำบัด</t>
  </si>
  <si>
    <t>27.1 ให้บริการรักษาผู้ป่วยโรคมะเร็งทุกระบบด้วยเคมีบำบัด</t>
  </si>
  <si>
    <t>รายการ</t>
  </si>
  <si>
    <t>ศูนย์ต้นทุนสนับสนุน</t>
  </si>
  <si>
    <t>ไม่มีผลผลิตย่อย</t>
  </si>
  <si>
    <t>ฉบับ</t>
  </si>
  <si>
    <t>คร้ง</t>
  </si>
  <si>
    <t>แผน</t>
  </si>
  <si>
    <t>11.งานพัฒนาบุคลากร</t>
  </si>
  <si>
    <t>12.งานบริหารบุคลากร</t>
  </si>
  <si>
    <t>ตารางที่ 2 รายงานต้นทุนตามศูนย์ต้นทุนแยกตามประเภทค่าใช้จ่าย</t>
  </si>
  <si>
    <t>ค่าใช้จ่ายทางตรง</t>
  </si>
  <si>
    <t>ค่าใช้จ่ายทางอ้อม</t>
  </si>
  <si>
    <t>ค่าใช้จ่ายรวมทั้งสิ้น</t>
  </si>
  <si>
    <t>ค่าใช้จ่าย</t>
  </si>
  <si>
    <t>ค่าใช้จ่ายด้าน</t>
  </si>
  <si>
    <t>ค่ารักษา</t>
  </si>
  <si>
    <t>ค่าตอบแทนใช้สอย</t>
  </si>
  <si>
    <t>ค่าเสื่อมราคา</t>
  </si>
  <si>
    <t xml:space="preserve">หนี้สูญ </t>
  </si>
  <si>
    <t>ค่าใช้จ่ายอื่นๆ</t>
  </si>
  <si>
    <t>บุคลากร</t>
  </si>
  <si>
    <t>การฝึกอบรม</t>
  </si>
  <si>
    <t>เดินทาง</t>
  </si>
  <si>
    <t>พยาบาล</t>
  </si>
  <si>
    <t xml:space="preserve">และวัสดุ </t>
  </si>
  <si>
    <t>และค่าตัดจำหน่าย</t>
  </si>
  <si>
    <t>1.กลุ่มงานมะเร็งนรีเวช</t>
  </si>
  <si>
    <t>2.กลุ่มงานศัลยศาสตร์</t>
  </si>
  <si>
    <t>3.กลุ่มงานวิสัญญีวิทยา</t>
  </si>
  <si>
    <t>4.กลุ่มงานอายุรศาสตร์</t>
  </si>
  <si>
    <t>5.กลุ่มงานเคมีบำบัด</t>
  </si>
  <si>
    <t>6.กลุ่มงานโสต ศอ นาสิก</t>
  </si>
  <si>
    <t>7.กลุ่มงานรังสีรักษา</t>
  </si>
  <si>
    <t>8.กลุ่มงานรังสีวินิจฉัยฯ</t>
  </si>
  <si>
    <t>9. กลุ่มงานเวชศาสตร์นิวเคลียร์</t>
  </si>
  <si>
    <t>10.กลุ่มงานพยาธิวิทยา</t>
  </si>
  <si>
    <t>11.กลุ่มงานเวชศาสตร์ประคับประคอง</t>
  </si>
  <si>
    <t>13.กลุ่มงานเภสัชกรรม</t>
  </si>
  <si>
    <t>14.กลุ่มงานโภชนศาสตร์</t>
  </si>
  <si>
    <t>17.กลุ่มงานบริการผู้ป่วยนอก</t>
  </si>
  <si>
    <t>18.กลุ่มงานบริการผู้ป่วยใน</t>
  </si>
  <si>
    <t>19.กลุ่มงานวิชาการพยาบาล</t>
  </si>
  <si>
    <t>20.กลุ่มงานพยาบาลป้องกันและควบคุมการติดเชื้อ</t>
  </si>
  <si>
    <t>21.กลุ่มงานพยาบาลหอผู้ป่วยหนักและห้องแยก</t>
  </si>
  <si>
    <t>22.กลุ่มงานพยาบาลรังสีรักษา</t>
  </si>
  <si>
    <t>23.กลุ่มงานพยาบาลวิสัญญี</t>
  </si>
  <si>
    <t>25.กลุ่มงานพยาบาลห้องผ่าตัด</t>
  </si>
  <si>
    <t>27.กลุ่มงานพยาบาลผู้ป่วยเคมีบำบัด</t>
  </si>
  <si>
    <t>1.สำนักผู้อำนวยการ</t>
  </si>
  <si>
    <t>2.ฝ่ายบริหารทั่วไป</t>
  </si>
  <si>
    <t>3.งานธุรการ</t>
  </si>
  <si>
    <t>4.งานยานพาหนะ</t>
  </si>
  <si>
    <t>5.งานวิศวกรรมบริการ</t>
  </si>
  <si>
    <t>6.ฝ่ายการเงินและบัญชี</t>
  </si>
  <si>
    <t>7.ฝ่ายพัสดุและบำรุงรักษา</t>
  </si>
  <si>
    <t>8.ฝ่ายแผนงานและประเมินผล</t>
  </si>
  <si>
    <t>10.ฝ่ายทรัพยากรบุคคล</t>
  </si>
  <si>
    <t>13.งานประชาสัมพันธ์</t>
  </si>
  <si>
    <t>14.งานเลขานุการ</t>
  </si>
  <si>
    <t>15.กลุ่มงานเทคโนโลยีฯ</t>
  </si>
  <si>
    <t>16.งานเวชระเบียนและสถิติ</t>
  </si>
  <si>
    <t>17.งานทะเบียนมะเร็ง</t>
  </si>
  <si>
    <t>19.งานศูนย์ข้อมูลข่าวสาร</t>
  </si>
  <si>
    <t>20.งานโสตทัศนูปกรณ์</t>
  </si>
  <si>
    <t>ตารางที่ 3 รายงานต้นทุนกิจกรรมย่อยแยกตามแหล่งเงิน</t>
  </si>
  <si>
    <t>ต้นทุนรวม</t>
  </si>
  <si>
    <t>ต้นทุนต่อหน่วย</t>
  </si>
  <si>
    <t>กิจกรรมย่อยของหน่วยงานหลัก</t>
  </si>
  <si>
    <t>1.1 การตรวจคัดกรองมะเร็งปากมดลูกระยะเริ่มแรก</t>
  </si>
  <si>
    <t>5. กลุ่มงานเคมีบำบัด</t>
  </si>
  <si>
    <t>6. กลุ่มงานโสต ศอ นาสิก</t>
  </si>
  <si>
    <t>8. กลุ่มงานรังสีวินิจฉัยฯ</t>
  </si>
  <si>
    <t>8.1 ให้บริการรักษาทุกระบบด้านรังสีรักษา</t>
  </si>
  <si>
    <t>15.2 งานตรวจผู้ป้วยเฉพาะทางโลหิตวิทยา</t>
  </si>
  <si>
    <t>กิจกรรมย่อยของหน่วยงานสนับสนุน</t>
  </si>
  <si>
    <t>รวมทั้งสิ้น</t>
  </si>
  <si>
    <t>ตารางที่ 3.1 รายงานต้นทุนตามศูนย์ต้นทุน โดยแยกประเภทตามแหล่งของเงิน</t>
  </si>
  <si>
    <t>ตารางที่ 3.2 แสดงวิธีการคำนวณการปันส่วนต้นทุนของศูนย์ต้นทุนเข้าสู่กิจกรรมย่อย</t>
  </si>
  <si>
    <t>สัดส่วน</t>
  </si>
  <si>
    <t xml:space="preserve">2.1. การบริการผ่าตัดวินิจโรค  ค้นหาโรคมะเร็ง  </t>
  </si>
  <si>
    <t>3.1. ให้บริการการพยาบาลผู้ป่วยที่ได้รับการระงับความรู้สึกทุกประเภท</t>
  </si>
  <si>
    <t>4..กลุ่มงานอายุรศาสตร์</t>
  </si>
  <si>
    <t>4.1 ให้บริการรักษาผู้ป่วยนอก</t>
  </si>
  <si>
    <t>4.2 ให้บริการรักษาผู้ป่วยใน</t>
  </si>
  <si>
    <t>5.1 ให้บริการรักษาผู้ป่วยโรคมะเร็งด้วยยาเคมีบำบัด ผู้ป่วยนอก</t>
  </si>
  <si>
    <t>5.2 .ให้บริการรักษาผู้ป่วยโรคมะเร็งด้วยยาเคมีบำบัด ผู้ป่วยใน</t>
  </si>
  <si>
    <t>6.1. ให้บริการผู้ป่วยมะเร็งโสต ศอ นาสิก ด้วยรังสีรักษา</t>
  </si>
  <si>
    <t>8.1 บริการตรวจค้นหาและศึกษาวิเคราะห์ความผิดปกติจากภาพถ่ายเอกซเรย์ปอด</t>
  </si>
  <si>
    <t>8.2 ให้บริการตรวจค้นหา ศึกษา วิเคราะห์มะเร็งของงานเอกซเรย์พิเศษ</t>
  </si>
  <si>
    <t>8.3. ให้บริการตรวจด้วยคลื่นเสียงความถี่สูง</t>
  </si>
  <si>
    <t>8.4 .ให้บริการตรวจเพื่อค้นหา รวมทั้งศึกษา วิเคราะห์โรคมะเร็งเต้านมและความผิดปกติของ</t>
  </si>
  <si>
    <t>เต้านมจากการถ่ายเอกซเรย์เต้านม</t>
  </si>
  <si>
    <t>9.1. ให้บริการตรวจวินิจฉัยและรักษาผู้ป่วยด้านเวชศาสตร์นิวเคลียร์</t>
  </si>
  <si>
    <t>10.1 บริการตรวจวินิจฉัยและค้นหาโรคมะเร็งงานพยาธิวิทยาคลินิค</t>
  </si>
  <si>
    <t>15.2 งานตรวจผู้ป่วยเฉพาะทางโลหิตวิทยา</t>
  </si>
  <si>
    <t>16. กลุ่มงานเทคนิคการแพทย์</t>
  </si>
  <si>
    <t>17.1. ให้บริการรักษาผู้ป่วยนอกทั่วไป</t>
  </si>
  <si>
    <t xml:space="preserve"> </t>
  </si>
  <si>
    <t>23.1.ให้บริการการพยาบาลผู้ป่วยที่ได้รับการระงับความรู้สึกทุกประเภท</t>
  </si>
  <si>
    <t xml:space="preserve">25.1. การบริการผ่าตัดวินิจโรค  ค้นหาโรคมะเร็ง  </t>
  </si>
  <si>
    <t>26.1.ล้างวัสดุและอุปกรณ์การแพทย์</t>
  </si>
  <si>
    <t>26.2.ทำให้ปราศจากเชื้อโดยการนึ่งไอน้ำ</t>
  </si>
  <si>
    <t>27.1. ให้บริการรักษาผู้ป่วยโรคมะเร็งทุกระบบด้วยเคมีบำบัด</t>
  </si>
  <si>
    <t>1.1. ควบคุม กำกับ ดูแลการบริหารงานให้เป็นไปตามภาระกิจของโรงพยาบาล</t>
  </si>
  <si>
    <t>2.1. ตรวจสอบและกลั่นกรองเรื่องต่างๆ เพื่อเสนอผู้บังคับบัญชา สั่งการ</t>
  </si>
  <si>
    <t>3.1. ร่างโต้ตอบหนังสือ ภายในหน่วยงานและ ภายนอกหน่วยงาน</t>
  </si>
  <si>
    <t>3.2.  รับ  ส่งจดหมาย พัสดุ ไปรษณีย์ของทางราชการ</t>
  </si>
  <si>
    <t>4.1. ให้บริการเจ้าหน้าที่ภายในจังหวัด</t>
  </si>
  <si>
    <t>4.2. ให้บริการเจ้าหน้าที่ต่างจังหวัด</t>
  </si>
  <si>
    <t>5.1.  ดูแล บำรุงรักษาเครื่องมือทางการแพทย์ต่างๆ</t>
  </si>
  <si>
    <t>6.1. จำนวนรายการเอกสารเบิกจ่ายเงินในระบบ GFMIS</t>
  </si>
  <si>
    <t>7.1. จำนวนครั้งของการจัดซื้อในระบบ GFMIS</t>
  </si>
  <si>
    <t>8.1. จัดทำแผนเงินงบประมาณ/เงินบำรุง</t>
  </si>
  <si>
    <t>8.2. ตรวจสอบและรายงานผลการดำเนินงาน</t>
  </si>
  <si>
    <t>9.1. ประสานสิทธิและส่งต่อผู้ป่วย</t>
  </si>
  <si>
    <t>9.2. ดำเนินการเรียกเก็บเงินค่ารักษาพยาบาลสิทธิทุกประเภท</t>
  </si>
  <si>
    <t>10.1. จำนวนบุคคลากรเดินทางไปประชุม/สัมมนา</t>
  </si>
  <si>
    <t>11.1. ดำเนินการเกี่ยวกับการพัฒนาทรัพยากรบุคคลในหน่วยงาน</t>
  </si>
  <si>
    <t>12.1. ดำเนินการเกี่ยวกับการประเมินผลการปฏิบัติงานและสมรรถนะเพื่อการเลื่อนเงินเดือน</t>
  </si>
  <si>
    <t>13.1. บริการต้อนรับผู้ป่วยนอก</t>
  </si>
  <si>
    <t>14.1. ตรวจสอบและกลั่นกรองหนังสือเพื่อเสนอผู้อำนวยการ</t>
  </si>
  <si>
    <t>15.1. ให้รหัสโรคตามบัญชีจำแนกโรคของผู้ป่วยนอก</t>
  </si>
  <si>
    <t>15.2. ให้รหัสโรคตามบัญชีจำแนกโรคของผู้ป่วยใน</t>
  </si>
  <si>
    <t>17.1.ด้านจัดการข้อมูล</t>
  </si>
  <si>
    <t>21.งานวิจัย</t>
  </si>
  <si>
    <t>ตารางที่ 4 รายงานต้นทุนผลผลิตย่อยแยกตามแหล่งของเงิน</t>
  </si>
  <si>
    <t>ตารางที่ 4.1 แสดงวิธีการคำนวณการปันส่วนต้นทุนกิจกรรมย่อยเข้าสู่ผลผลิตย่อย</t>
  </si>
  <si>
    <t xml:space="preserve">ผลผลิตย่อยที่ 1 </t>
  </si>
  <si>
    <t>ผลผลิตย่อยที่ 2</t>
  </si>
  <si>
    <t>ผลผลิตย่อยที่ 3</t>
  </si>
  <si>
    <t>ผลผลิตย่อยที่ 4</t>
  </si>
  <si>
    <t>15.2 งานตรวจผู้ปjวยเฉพาะทางโลหิตวิทยา</t>
  </si>
  <si>
    <t>เงินนอกงปม.</t>
  </si>
  <si>
    <t>ตารางที่ 5 รายงานต้นทุนกิจกรรมหลักแยกตามแหล่งเงิน</t>
  </si>
  <si>
    <t>ตารางที่ 6 รายงานต้นทุนผลผลิตหลักแยกตามแหล่งเงิน</t>
  </si>
  <si>
    <t>ตารางที่ 7 เปรียบเทียบผลการคำนวณต้นทุนกิจกรรมย่อยแยกตามแหล่งเงิน</t>
  </si>
  <si>
    <t>ผลการเปรียบเทียบ</t>
  </si>
  <si>
    <t xml:space="preserve">   ต้นทุนต่อหน่วย</t>
  </si>
  <si>
    <t xml:space="preserve">ต้นทุนรวม  </t>
  </si>
  <si>
    <t>ต้นทุน</t>
  </si>
  <si>
    <t xml:space="preserve">เพิ่ม (ลด) </t>
  </si>
  <si>
    <t xml:space="preserve">เพิ่ม(ลด) </t>
  </si>
  <si>
    <t>ต่อหน่วย</t>
  </si>
  <si>
    <t>%</t>
  </si>
  <si>
    <t>เพิ่ม(ลด)%</t>
  </si>
  <si>
    <t>7.1 ให้บริการรักษาด้านรังสีรักษาผู้ป่วยนอก</t>
  </si>
  <si>
    <t>15.2. งานตรวจผู้ป่วยเฉพาะทางโลหิตวิทยา</t>
  </si>
  <si>
    <t>16.1.บริการตรวจวินิจฉัยและค้นหาโรคมะเร็งงานพยาธิวิทยาคลินิค</t>
  </si>
  <si>
    <t>22.1. ให้บริการรักษาผู้ป่วยโรคมะเร็งทุกระบบด้วยรังสีรักษา</t>
  </si>
  <si>
    <t>ตารางที่ 8  เปรียบเทียบผลการคำนวณต้นทุนกิจกรรมหลักแยกตามแหล่งเงิน</t>
  </si>
  <si>
    <t xml:space="preserve">ต้นทุนรวม </t>
  </si>
  <si>
    <t xml:space="preserve">หน่วยนับ </t>
  </si>
  <si>
    <t xml:space="preserve"> เพิ่ม(ลด)</t>
  </si>
  <si>
    <t>ตารางที่ 9  เปรียบเทียบผลการคำนวณต้นทุนกิจกรรมหลักแยกตามแหล่งเงิน</t>
  </si>
  <si>
    <t>ตารางที่ 10  เปรียบเทียบผลการคำนวณต้นทุนกิจกรรมหลักแยกตามแหล่งเงิน</t>
  </si>
  <si>
    <t>ตารางที่ 11 รายงานเปรียบเทียบต้นทุนทางตรงตามศูนย์ต้นทุนแยกตามประเภทค่าใช้จ่ายและลักษณะของต้นทุน (คงที่ผันแปร)</t>
  </si>
  <si>
    <t>ต้นทุนคงที่</t>
  </si>
  <si>
    <t>ต้นทุนผันแปร</t>
  </si>
  <si>
    <t>คงที่เพิ่ม</t>
  </si>
  <si>
    <t>ผันแปร</t>
  </si>
  <si>
    <t xml:space="preserve">เพิ่ม </t>
  </si>
  <si>
    <t>ค่าใช้จ่ายในการฝึกอบรม</t>
  </si>
  <si>
    <t>ค่ารักษาพยาบาล</t>
  </si>
  <si>
    <t>(ลด) %</t>
  </si>
  <si>
    <t xml:space="preserve"> (ลด)%</t>
  </si>
  <si>
    <t>(ลด)%</t>
  </si>
  <si>
    <t>14.กลุ่มงานโภชนวิทยา</t>
  </si>
  <si>
    <t>24 กลุ่มงานพยาบาลส่งเสริมคุณภาพ</t>
  </si>
  <si>
    <t xml:space="preserve">รวม </t>
  </si>
  <si>
    <t>9.ฝ่ายลูกค้าสัมพันธ์</t>
  </si>
  <si>
    <t>ตารางที่ 12 รายงานเปรียบเทียบต้นทุนทางอ้อมตามลักษณะของต้นทุน (คงที่/ผันแปร)</t>
  </si>
  <si>
    <t>ค่าเสื่อมราคาและค่าตัดจำหน่าย</t>
  </si>
  <si>
    <t>ค่าตอบแทน ใช้สอย และวัสดุ</t>
  </si>
  <si>
    <t>หนี้สูญ หนี้สงสัยจะสูญ</t>
  </si>
  <si>
    <t>ค่าใช้จ่ายอื่น ๆ</t>
  </si>
  <si>
    <t>ค่าตอบแทน ใข้สอย และวัสดุ</t>
  </si>
  <si>
    <t>16.งานพยาธิวิทยากายวิภาค</t>
  </si>
  <si>
    <t>ค่าใข้จ่ายอื่น ๆ</t>
  </si>
  <si>
    <t>ตารางคำนวณการปันส่วนเงินในงบประมาณ</t>
  </si>
  <si>
    <t>จำนวนคน</t>
  </si>
  <si>
    <t>คชจ.ฝึกอบรม</t>
  </si>
  <si>
    <t>คชจ.เดินทาง</t>
  </si>
  <si>
    <t>ค่าตอบแทนใช้สอยและวัสดุ</t>
  </si>
  <si>
    <t>ตารางคำนวณการปันส่วนเงินนอกงบประมาณ</t>
  </si>
  <si>
    <t>การวิเคราะห์สาเหตุของการเปลี่ยนแปลงของต้นทุนต่อหน่วยกิจกรรมย่อย (อธิบายเฉพาะต้นทุนต่อหน่วยกิจกรรมย่อยที่เปลี่ยนแปลงอย่างมีสาระสำคัญ)</t>
  </si>
  <si>
    <t>ตารางที่ 8 เปรียบเทียบผลการคำนวณต้นทุนกิจกรรมหลักแยกตามแหล่งเงิน</t>
  </si>
  <si>
    <t>ตารางที่ 9 เปรียบเทียบผลการคำนวณต้นุทนกิจกรรมหลักแยกตามแหล่งเงิน</t>
  </si>
  <si>
    <t>การวิเคราะห์สาเหตุของการเปลี่ยนแปลงของต้นทุนต่อหน่วยกิจกรรมหลัก (อธิบายเฉพาะต้นทุนต่อหน่วยกิจกรรมย่อยที่เปลี่ยนแปลงอย่างมีสาระสำคัญ)</t>
  </si>
  <si>
    <t>ตารางที่ 10 การวิเคราะห์สาเหตุของการเปลี่ยนแปลงของต้นทุนต่อหน่วยผลผลิตหลัก (อธิบายเฉพาะต้นทุนต่อหน่วยกิจกรรมหลักที่เปลี่ยนแปลงอย่างมีสาระสำคัญ)</t>
  </si>
  <si>
    <t>ตารางที่ 11 การวิเคราะห์สาเหตุของการเปลี่ยนแปลงของต้นทุนทางตรงตามศูนย์ต้นทุนแยกตามประเภทค่าใช้จ่ายและลักษณะของต้นทุน (คงที่/ผันแปร) (เฉพาะรายการที่มีสาระสำคัญ)</t>
  </si>
  <si>
    <t xml:space="preserve">ศูนย์ต้นทุนหลักและศูนย์ต้นทุนสนับสนุน  ที่มีต้นทุนรวมเพิ่มขึ้นและลดลงอย่างมีสาระสำคัญ </t>
  </si>
  <si>
    <t>การวิเคราะห์หาสาเหตุของการเปลี่ยนแปลงของต้นทุนทางอ้อมตามลักษณะของต้นทุน (คงที่/ผันแปร) อธิบายเฉพาะค่าใช้จ่ายทางอ้อมที่เปลี่ยนแปลงอย่างมีสาระสำคัญ</t>
  </si>
  <si>
    <t>5101020199</t>
  </si>
  <si>
    <t>ค่าใช้จ่ายบุคลากรอื่น</t>
  </si>
  <si>
    <t>6101010101</t>
  </si>
  <si>
    <t>พักยกยอดเอกสารรับ-จ่าย</t>
  </si>
  <si>
    <t>แหล่งของเง</t>
  </si>
  <si>
    <t>Val.in rep.cur.</t>
  </si>
  <si>
    <t>กำหนดบ/ชประกอบ1</t>
  </si>
  <si>
    <t>Postg Date</t>
  </si>
  <si>
    <t>คชจ.บุคลากรอื่น</t>
  </si>
  <si>
    <t>ค่ารักษาบำนาญนอก-รัฐ</t>
  </si>
  <si>
    <t>210035200N4582</t>
  </si>
  <si>
    <t>JM</t>
  </si>
  <si>
    <t>ค/จเหมาบริการ-ภายนอก</t>
  </si>
  <si>
    <t>ค่าสื่อสาร&amp;โทรคมนาคม</t>
  </si>
  <si>
    <t>ค่าเสื่อม-ค.ยานพาหนะ</t>
  </si>
  <si>
    <t>ค่าเสื่อม-ค.ก่อสร้าง</t>
  </si>
  <si>
    <t>จำหน่ายสิ่งปลูกสร้าง</t>
  </si>
  <si>
    <t>จำหน่ายครุภัณฑ์วิทย์</t>
  </si>
  <si>
    <t>6.งานการเงินและบัญชี</t>
  </si>
  <si>
    <t>2.งานบริหารทั่วไป</t>
  </si>
  <si>
    <t>10.งานทรัพยากรบุคคล</t>
  </si>
  <si>
    <t>7.งานพัสดุและบำรุงรักษา</t>
  </si>
  <si>
    <t>8.งานแผนงานและประเมินผล</t>
  </si>
  <si>
    <t>10.กลุ่มงานทรัพยากรบุคคล</t>
  </si>
  <si>
    <t>7.งานพัสดุและบำรุง</t>
  </si>
  <si>
    <t>ค่าเสื่อมงบกลาง</t>
  </si>
  <si>
    <t>ต้นทุนทางอ้อม</t>
  </si>
  <si>
    <t>เพิ่ม (ลด) %</t>
  </si>
  <si>
    <t>1.ค่าจ้างเหมา</t>
  </si>
  <si>
    <t>2.ค่าเสื่อมราคาและค่าตัดจำหน่าย</t>
  </si>
  <si>
    <t>3.ค่าตอบแทน ใช้สอย และวัสดุ</t>
  </si>
  <si>
    <t>4.ค่าสาธารณูปโภค</t>
  </si>
  <si>
    <t>5.หนี้สูญ หนี้สงสัยจะสูญ</t>
  </si>
  <si>
    <t>6.ค่าใช้จ่ายอื่นๆ</t>
  </si>
  <si>
    <t>5101020114</t>
  </si>
  <si>
    <t>เงินเพิ่ม</t>
  </si>
  <si>
    <t>5104030205</t>
  </si>
  <si>
    <t>ต้นทุนขาย-สินค้าและบริการ</t>
  </si>
  <si>
    <t>พักค่าใช้จ่าย</t>
  </si>
  <si>
    <t>210035200O3154</t>
  </si>
  <si>
    <t>BPR 5200O3154000</t>
  </si>
  <si>
    <t>210035200O3164</t>
  </si>
  <si>
    <t>BPR 5200O3164000</t>
  </si>
  <si>
    <t>ตทข.-ส/ค&amp;บริการ</t>
  </si>
  <si>
    <t>จัดหาส/ทต่ำกว่าเกณฑ์</t>
  </si>
  <si>
    <t>210035200O3163</t>
  </si>
  <si>
    <t>จำหน่ายครุภัณฑ์ไฟฟ้า</t>
  </si>
  <si>
    <t>B7</t>
  </si>
  <si>
    <t>7.งานพัสดุ</t>
  </si>
  <si>
    <t>8.งานแผนและประเมินผล</t>
  </si>
  <si>
    <t>22.1ดำเนินงานพัฒนานโยบายและยุทธศาสตร์การแพทย์</t>
  </si>
  <si>
    <t>23.1.ติดตามตัวชี้วัดระดับองค์กร(ความพึงพอใจ/กพร.)</t>
  </si>
  <si>
    <t>22.งานพัฒนานโยบายและยุทธศาสตร์การแพทย์</t>
  </si>
  <si>
    <t>23.ศูนย์พัฒนาคุณภาพ</t>
  </si>
  <si>
    <t>22.งานนโยบายและยุทธศาสตร์ทางการแพทย์</t>
  </si>
  <si>
    <t>23.งานพัฒนาคุณภาพ</t>
  </si>
  <si>
    <t>2.กลุ่มงานบริหารทั่วไป</t>
  </si>
  <si>
    <t>22.1 ดำเนินงานพัฒนานโยบายและยุทธศาตร์การแพทย์</t>
  </si>
  <si>
    <t>23.1ติดตามตัวชี้วัดระดับองค์กร(ความพึงพอใจ/กพร.)</t>
  </si>
  <si>
    <t>5102030199</t>
  </si>
  <si>
    <t>ค่าใช้จ่ายด้านการฝึกอบรม-บุคคลภายนอก</t>
  </si>
  <si>
    <t>5104030212</t>
  </si>
  <si>
    <t>ค่าเช่าเบ็ดเตล็ด-บุคคลภายนอก</t>
  </si>
  <si>
    <t>5105010129</t>
  </si>
  <si>
    <t>ค่าเสื่อมราคา - ครุภัณฑ์การศึกษา</t>
  </si>
  <si>
    <t>5203010114</t>
  </si>
  <si>
    <t>ค่าจำหน่าย - ครุภัณฑ์โฆษณาและเผยแพร่</t>
  </si>
  <si>
    <t>5203010120</t>
  </si>
  <si>
    <t>ค่าจำหน่าย - อุปกรณ์คอมพิวเตอร์</t>
  </si>
  <si>
    <t>5203010122</t>
  </si>
  <si>
    <t>ค่าจำหน่าย - ครุภัณฑ์งานบ้านงานครัว</t>
  </si>
  <si>
    <t>14.01.2022                                                                                            การแสดงรายการไดนามิก                                                                                                    1</t>
  </si>
  <si>
    <t>RefDocNo</t>
  </si>
  <si>
    <t>ชื่อ</t>
  </si>
  <si>
    <t>ข้อความในใบสั่งซื้อ</t>
  </si>
  <si>
    <t>07.08.2021</t>
  </si>
  <si>
    <t>12.03.2021</t>
  </si>
  <si>
    <t>15.01.2021</t>
  </si>
  <si>
    <t>จำหน่ายครุภัณฑ์โฆษณา</t>
  </si>
  <si>
    <t>07.09.2021</t>
  </si>
  <si>
    <t>30.08.2021</t>
  </si>
  <si>
    <t>17.06.2021</t>
  </si>
  <si>
    <t>จำหน่ายครุภัณฑ์ครัว</t>
  </si>
  <si>
    <t>14.05.2021</t>
  </si>
  <si>
    <t>13.03.2021</t>
  </si>
  <si>
    <t>25.03.2021</t>
  </si>
  <si>
    <t>01.03.2021</t>
  </si>
  <si>
    <t>ตัดจำหน่ายมูลค่าหลอดไฟ LED (Matching Fund)</t>
  </si>
  <si>
    <t>06.08.2021</t>
  </si>
  <si>
    <t>18.01.2021</t>
  </si>
  <si>
    <t>จำหน่ายคอมฯ</t>
  </si>
  <si>
    <t>จำหน่ายครุภัณฑ์กีฬา</t>
  </si>
  <si>
    <t>จำหน่ายโปรแกรมคอมฯ</t>
  </si>
  <si>
    <t>30.11.2020</t>
  </si>
  <si>
    <t>AFB01202100201-5500000002</t>
  </si>
  <si>
    <t>31.12.2020</t>
  </si>
  <si>
    <t>AFB01202100301-5500000075</t>
  </si>
  <si>
    <t>31.01.2021</t>
  </si>
  <si>
    <t>AFB01202100401-5500000148</t>
  </si>
  <si>
    <t>28.02.2021</t>
  </si>
  <si>
    <t>AFB01202100501-5500000223</t>
  </si>
  <si>
    <t>31.03.2021</t>
  </si>
  <si>
    <t>AFB01202100601-5500000298</t>
  </si>
  <si>
    <t>30.04.2021</t>
  </si>
  <si>
    <t>AFB01202100701-5500000373</t>
  </si>
  <si>
    <t>31.05.2021</t>
  </si>
  <si>
    <t>AFB01202100801-5500000449</t>
  </si>
  <si>
    <t>30.06.2021</t>
  </si>
  <si>
    <t>AFB01202100901-5500000526</t>
  </si>
  <si>
    <t>31.07.2021</t>
  </si>
  <si>
    <t>AFB01202101001-5500000603</t>
  </si>
  <si>
    <t>31.08.2021</t>
  </si>
  <si>
    <t>AFB01202101101-5500000680</t>
  </si>
  <si>
    <t>30.09.2021</t>
  </si>
  <si>
    <t>AFB01202101201-5500000757</t>
  </si>
  <si>
    <t>AFB01202100201-5500000004</t>
  </si>
  <si>
    <t>AFB01202100301-5500000077</t>
  </si>
  <si>
    <t>AFB01202100401-5500000150</t>
  </si>
  <si>
    <t>AFB01202100501-5500000225</t>
  </si>
  <si>
    <t>AFB01202100601-5500000300</t>
  </si>
  <si>
    <t>AFB01202100701-5500000375</t>
  </si>
  <si>
    <t>AFB01202100801-5500000451</t>
  </si>
  <si>
    <t>AFB01202100901-5500000528</t>
  </si>
  <si>
    <t>AFB01202101001-5500000605</t>
  </si>
  <si>
    <t>AFB01202101101-5500000682</t>
  </si>
  <si>
    <t>AFB01202101201-5500000760</t>
  </si>
  <si>
    <t>AFB01202101101-5500000683</t>
  </si>
  <si>
    <t>AFB01202100201-5500000006</t>
  </si>
  <si>
    <t>AFB01202100301-5500000079</t>
  </si>
  <si>
    <t>AFB01202100401-5500000152</t>
  </si>
  <si>
    <t>AFB01202100501-5500000228</t>
  </si>
  <si>
    <t>AFB01202100601-5500000303</t>
  </si>
  <si>
    <t>AFB01202100701-5500000378</t>
  </si>
  <si>
    <t>AFB01202100801-5500000454</t>
  </si>
  <si>
    <t>AFB01202100901-5500000531</t>
  </si>
  <si>
    <t>AFB01202101001-5500000608</t>
  </si>
  <si>
    <t>AFB01202101101-5500000685</t>
  </si>
  <si>
    <t>AFB01202101201-5500000762</t>
  </si>
  <si>
    <t>AFB01202100401-5500000153</t>
  </si>
  <si>
    <t>AFB01202100301-5500000080</t>
  </si>
  <si>
    <t>AFB01202100201-5500000009</t>
  </si>
  <si>
    <t>AFB01202100301-5500000082</t>
  </si>
  <si>
    <t>AFB01202100401-5500000155</t>
  </si>
  <si>
    <t>AFB01202100501-5500000230</t>
  </si>
  <si>
    <t>AFB01202100601-5500000305</t>
  </si>
  <si>
    <t>AFB01202100701-5500000381</t>
  </si>
  <si>
    <t>AFB01202100801-5500000457</t>
  </si>
  <si>
    <t>AFB01202100901-5500000534</t>
  </si>
  <si>
    <t>AFB01202101001-5500000611</t>
  </si>
  <si>
    <t>AFB01202101101-5500000688</t>
  </si>
  <si>
    <t>AFB01202101201-5500000765</t>
  </si>
  <si>
    <t>AFB01202100601-5500000306</t>
  </si>
  <si>
    <t>AFB01202100501-5500000231</t>
  </si>
  <si>
    <t>AFB01202100201-5500000021</t>
  </si>
  <si>
    <t>AFB01202100301-5500000094</t>
  </si>
  <si>
    <t>AFB01202100401-5500000167</t>
  </si>
  <si>
    <t>AFB01202100501-5500000242</t>
  </si>
  <si>
    <t>AFB01202100601-5500000317</t>
  </si>
  <si>
    <t>AFB01202100701-5500000392</t>
  </si>
  <si>
    <t>AFB01202100801-5500000468</t>
  </si>
  <si>
    <t>AFB01202100901-5500000545</t>
  </si>
  <si>
    <t>AFB01202101001-5500000622</t>
  </si>
  <si>
    <t>AFB01202101101-5500000699</t>
  </si>
  <si>
    <t>AFB01202101201-5500000777</t>
  </si>
  <si>
    <t>AFB01202101001-5500000623</t>
  </si>
  <si>
    <t>AFB01202101101-5500000700</t>
  </si>
  <si>
    <t>AFB01202100701-5500000393</t>
  </si>
  <si>
    <t>AFB01202100801-5500000469</t>
  </si>
  <si>
    <t>AFB01202100901-5500000546</t>
  </si>
  <si>
    <t>AFB01202100201-5500000024</t>
  </si>
  <si>
    <t>AFB01202100301-5500000097</t>
  </si>
  <si>
    <t>AFB01202100401-5500000170</t>
  </si>
  <si>
    <t>AFB01202100501-5500000246</t>
  </si>
  <si>
    <t>AFB01202100601-5500000321</t>
  </si>
  <si>
    <t>AFB01202100701-5500000396</t>
  </si>
  <si>
    <t>AFB01202100801-5500000472</t>
  </si>
  <si>
    <t>AFB01202100901-5500000549</t>
  </si>
  <si>
    <t>AFB01202101001-5500000626</t>
  </si>
  <si>
    <t>AFB01202101101-5500000703</t>
  </si>
  <si>
    <t>AFB01202101201-5500000780</t>
  </si>
  <si>
    <t>AFB01202100401-5500000171</t>
  </si>
  <si>
    <t>AFB01202100301-5500000098</t>
  </si>
  <si>
    <t>AFB01202100201-5500000029</t>
  </si>
  <si>
    <t>AFB01202100301-5500000102</t>
  </si>
  <si>
    <t>AFB01202100401-5500000175</t>
  </si>
  <si>
    <t>AFB01202100501-5500000250</t>
  </si>
  <si>
    <t>AFB01202100601-5500000325</t>
  </si>
  <si>
    <t>AFB01202100701-5500000400</t>
  </si>
  <si>
    <t>AFB01202100801-5500000476</t>
  </si>
  <si>
    <t>AFB01202100901-5500000553</t>
  </si>
  <si>
    <t>AFB01202101001-5500000631</t>
  </si>
  <si>
    <t>AFB01202101101-5500000708</t>
  </si>
  <si>
    <t>AFB01202101201-5500000785</t>
  </si>
  <si>
    <t>AFB01202100901-5500000554</t>
  </si>
  <si>
    <t>AFB01202100801-5500000477</t>
  </si>
  <si>
    <t>AFB01202100201-5500000034</t>
  </si>
  <si>
    <t>AFB01202100301-5500000108</t>
  </si>
  <si>
    <t>AFB01202100401-5500000181</t>
  </si>
  <si>
    <t>AFB01202100501-5500000256</t>
  </si>
  <si>
    <t>AFB01202100601-5500000331</t>
  </si>
  <si>
    <t>AFB01202100701-5500000406</t>
  </si>
  <si>
    <t>AFB01202100801-5500000482</t>
  </si>
  <si>
    <t>AFB01202100901-5500000559</t>
  </si>
  <si>
    <t>AFB01202101001-5500000637</t>
  </si>
  <si>
    <t>AFB01202101101-5500000714</t>
  </si>
  <si>
    <t>AFB01202101201-5500000791</t>
  </si>
  <si>
    <t>AFB01202100801-5500000483</t>
  </si>
  <si>
    <t>AFB01202100201-5500000035</t>
  </si>
  <si>
    <t>AFB01202100901-5500000560</t>
  </si>
  <si>
    <t>AFB01202100701-5500000407</t>
  </si>
  <si>
    <t>AFB01202100201-5500000036</t>
  </si>
  <si>
    <t>AFB01202100301-5500000109</t>
  </si>
  <si>
    <t>AFB01202100401-5500000183</t>
  </si>
  <si>
    <t>AFB01202100501-5500000258</t>
  </si>
  <si>
    <t>AFB01202100601-5500000333</t>
  </si>
  <si>
    <t>AFB01202100701-5500000408</t>
  </si>
  <si>
    <t>AFB01202100801-5500000484</t>
  </si>
  <si>
    <t>AFB01202100901-5500000561</t>
  </si>
  <si>
    <t>AFB01202101001-5500000638</t>
  </si>
  <si>
    <t>AFB01202101101-5500000716</t>
  </si>
  <si>
    <t>AFB01202101201-5500000793</t>
  </si>
  <si>
    <t>AFB01202100301-5500000110</t>
  </si>
  <si>
    <t>AFB01202100201-5500000037</t>
  </si>
  <si>
    <t>AFB01202100201-5500000038</t>
  </si>
  <si>
    <t>AFB01202100301-5500000111</t>
  </si>
  <si>
    <t>AFB01202100401-5500000184</t>
  </si>
  <si>
    <t>AFB01202100501-5500000259</t>
  </si>
  <si>
    <t>AFB01202100601-5500000334</t>
  </si>
  <si>
    <t>AFB01202100701-5500000410</t>
  </si>
  <si>
    <t>AFB01202100801-5500000486</t>
  </si>
  <si>
    <t>AFB01202100901-5500000563</t>
  </si>
  <si>
    <t>AFB01202101001-5500000640</t>
  </si>
  <si>
    <t>AFB01202101101-5500000717</t>
  </si>
  <si>
    <t>AFB01202101201-5500000794</t>
  </si>
  <si>
    <t>AFB01202100201-5500000056</t>
  </si>
  <si>
    <t>AFB01202100301-5500000129</t>
  </si>
  <si>
    <t>AFB01202100401-5500000203</t>
  </si>
  <si>
    <t>AFB01202100501-5500000278</t>
  </si>
  <si>
    <t>AFB01202100601-5500000354</t>
  </si>
  <si>
    <t>AFB01202100701-5500000429</t>
  </si>
  <si>
    <t>AFB01202100801-5500000506</t>
  </si>
  <si>
    <t>AFB01202100901-5500000583</t>
  </si>
  <si>
    <t>AFB01202101001-5500000660</t>
  </si>
  <si>
    <t>AFB01202101101-5500000737</t>
  </si>
  <si>
    <t>AFB01202100201-5500000055</t>
  </si>
  <si>
    <t>AFB01202100301-5500000128</t>
  </si>
  <si>
    <t>AFB01202100401-5500000202</t>
  </si>
  <si>
    <t>AFB01202100501-5500000277</t>
  </si>
  <si>
    <t>AFB01202100601-5500000353</t>
  </si>
  <si>
    <t>AFB01202100701-5500000428</t>
  </si>
  <si>
    <t>AFB01202100801-5500000505</t>
  </si>
  <si>
    <t>AFB01202100901-5500000582</t>
  </si>
  <si>
    <t>AFB01202101001-5500000659</t>
  </si>
  <si>
    <t>AFB01202101101-5500000736</t>
  </si>
  <si>
    <t>AFB01202101201-5500000813</t>
  </si>
  <si>
    <t>AFB01202100301-5500000130</t>
  </si>
  <si>
    <t>AFB01202100501-5500000279</t>
  </si>
  <si>
    <t>AFB01202101201-5500000814</t>
  </si>
  <si>
    <t>210035200P2978</t>
  </si>
  <si>
    <t>AFB01202100201-5500000066</t>
  </si>
  <si>
    <t>AFB01202100301-5500000139</t>
  </si>
  <si>
    <t>AFB01202100401-5500000213</t>
  </si>
  <si>
    <t>AFB01202100501-5500000289</t>
  </si>
  <si>
    <t>AFB01202100601-5500000364</t>
  </si>
  <si>
    <t>AFB01202100701-5500000440</t>
  </si>
  <si>
    <t>AFB01202100801-5500000517</t>
  </si>
  <si>
    <t>AFB01202100901-5500000594</t>
  </si>
  <si>
    <t>AFB01202101001-5500000671</t>
  </si>
  <si>
    <t>AFB01202101101-5500000748</t>
  </si>
  <si>
    <t>AFB01202101201-5500000825</t>
  </si>
  <si>
    <t>ค่าเสื่อม-ค.การศึกษา</t>
  </si>
  <si>
    <t>AFB01202101001-5500000672</t>
  </si>
  <si>
    <t>AFB01202101101-5500000749</t>
  </si>
  <si>
    <t>AFB01202101201-5500000826</t>
  </si>
  <si>
    <t>AFB01202100201-5500000071</t>
  </si>
  <si>
    <t>AFB01202100301-5500000144</t>
  </si>
  <si>
    <t>AFB01202100401-5500000218</t>
  </si>
  <si>
    <t>AFB01202100501-5500000293</t>
  </si>
  <si>
    <t>AFB01202100601-5500000369</t>
  </si>
  <si>
    <t>AFB01202100701-5500000445</t>
  </si>
  <si>
    <t>AFB01202100801-5500000522</t>
  </si>
  <si>
    <t>AFB01202100901-5500000599</t>
  </si>
  <si>
    <t>AFB01202101001-5500000676</t>
  </si>
  <si>
    <t>AFB01202101101-5500000753</t>
  </si>
  <si>
    <t>AFB01202101201-5500000830</t>
  </si>
  <si>
    <t>AFB01202100501-5500000294</t>
  </si>
  <si>
    <t>AFB01202100201-5500000072</t>
  </si>
  <si>
    <t>AFB01202100301-5500000145</t>
  </si>
  <si>
    <t>AFB01202100401-5500000219</t>
  </si>
  <si>
    <t>AFB01202100501-5500000295</t>
  </si>
  <si>
    <t>AFB01202100601-5500000370</t>
  </si>
  <si>
    <t>AFB01202100701-5500000446</t>
  </si>
  <si>
    <t>AFB01202100801-5500000523</t>
  </si>
  <si>
    <t>AFB01202100901-5500000600</t>
  </si>
  <si>
    <t>AFB01202101001-5500000677</t>
  </si>
  <si>
    <t>AFB01202101101-5500000755</t>
  </si>
  <si>
    <t>AFB01202101201-5500000831</t>
  </si>
  <si>
    <t>AFB01202100201-5500000074</t>
  </si>
  <si>
    <t>AFB01202100301-5500000147</t>
  </si>
  <si>
    <t>AFB01202100401-5500000221</t>
  </si>
  <si>
    <t>AFB01202100501-5500000296</t>
  </si>
  <si>
    <t>AFB01202100601-5500000372</t>
  </si>
  <si>
    <t>AFB01202100701-5500000448</t>
  </si>
  <si>
    <t>AFB01202100801-5500000525</t>
  </si>
  <si>
    <t>AFB01202100901-5500000602</t>
  </si>
  <si>
    <t>AFB01202101001-5500000679</t>
  </si>
  <si>
    <t>AFB01202101101-5500000756</t>
  </si>
  <si>
    <t>AFB01202101201-5500000833</t>
  </si>
  <si>
    <t>AFB01202100501-5500000297</t>
  </si>
  <si>
    <t>22.10.2020</t>
  </si>
  <si>
    <t>510103010190909520000000  5101030101</t>
  </si>
  <si>
    <t>15.10.2020</t>
  </si>
  <si>
    <t>210035200P2979</t>
  </si>
  <si>
    <t>BPR 5200P2979000</t>
  </si>
  <si>
    <t>210035200P2972</t>
  </si>
  <si>
    <t>BPR 5200P2972000</t>
  </si>
  <si>
    <t>5104020107210035200O3164  5104020107</t>
  </si>
  <si>
    <t>5101020114210035200O3154  5101020114</t>
  </si>
  <si>
    <t>5104020101210035200O3164  5104020101</t>
  </si>
  <si>
    <t>5104020103210035200O3164  5104020103</t>
  </si>
  <si>
    <t>5104020106210035200O3164  5104020106</t>
  </si>
  <si>
    <t>01.02.2021</t>
  </si>
  <si>
    <t>29.06.2021</t>
  </si>
  <si>
    <t>08.03.2021</t>
  </si>
  <si>
    <t>08.12.2020</t>
  </si>
  <si>
    <t>19.10.2020</t>
  </si>
  <si>
    <t>28.10.2020</t>
  </si>
  <si>
    <t>27.10.2020</t>
  </si>
  <si>
    <t>12.10.2020</t>
  </si>
  <si>
    <t>30.10.2020</t>
  </si>
  <si>
    <t>02.11.2020</t>
  </si>
  <si>
    <t>09.11.2020</t>
  </si>
  <si>
    <t>06.11.2020</t>
  </si>
  <si>
    <t>25.11.2020</t>
  </si>
  <si>
    <t>07.12.2020</t>
  </si>
  <si>
    <t>30.12.2020</t>
  </si>
  <si>
    <t>04.12.2020</t>
  </si>
  <si>
    <t>29.12.2020</t>
  </si>
  <si>
    <t>21.12.2020</t>
  </si>
  <si>
    <t>28.12.2020</t>
  </si>
  <si>
    <t>25.12.2020</t>
  </si>
  <si>
    <t>29.01.2021</t>
  </si>
  <si>
    <t>28.01.2021</t>
  </si>
  <si>
    <t>26.01.2021</t>
  </si>
  <si>
    <t>11.01.2021</t>
  </si>
  <si>
    <t>04.02.2021</t>
  </si>
  <si>
    <t>18.02.2021</t>
  </si>
  <si>
    <t>17.02.2021</t>
  </si>
  <si>
    <t>02.02.2021</t>
  </si>
  <si>
    <t>22.02.2021</t>
  </si>
  <si>
    <t>03.03.2021</t>
  </si>
  <si>
    <t>16.03.2021</t>
  </si>
  <si>
    <t>02.03.2021</t>
  </si>
  <si>
    <t>30.03.2021</t>
  </si>
  <si>
    <t>22.03.2021</t>
  </si>
  <si>
    <t>29.03.2021</t>
  </si>
  <si>
    <t>02.04.2021</t>
  </si>
  <si>
    <t>29.04.2021</t>
  </si>
  <si>
    <t>08.04.2021</t>
  </si>
  <si>
    <t>01.04.2021</t>
  </si>
  <si>
    <t>27.04.2021</t>
  </si>
  <si>
    <t>07.04.2021</t>
  </si>
  <si>
    <t>05.05.2021</t>
  </si>
  <si>
    <t>19.05.2021</t>
  </si>
  <si>
    <t>25.05.2021</t>
  </si>
  <si>
    <t>18.05.2021</t>
  </si>
  <si>
    <t>21.05.2021</t>
  </si>
  <si>
    <t>27.05.2021</t>
  </si>
  <si>
    <t>25.06.2021</t>
  </si>
  <si>
    <t>04.06.2021</t>
  </si>
  <si>
    <t>24.06.2021</t>
  </si>
  <si>
    <t>02.06.2021</t>
  </si>
  <si>
    <t>28.06.2021</t>
  </si>
  <si>
    <t>23.07.2021</t>
  </si>
  <si>
    <t>08.07.2021</t>
  </si>
  <si>
    <t>07.07.2021</t>
  </si>
  <si>
    <t>19.07.2021</t>
  </si>
  <si>
    <t>06.07.2021</t>
  </si>
  <si>
    <t>30.07.2021</t>
  </si>
  <si>
    <t>05.08.2021</t>
  </si>
  <si>
    <t>26.08.2021</t>
  </si>
  <si>
    <t>04.08.2021</t>
  </si>
  <si>
    <t>03.08.2021</t>
  </si>
  <si>
    <t>11.08.2021</t>
  </si>
  <si>
    <t>02.09.2021</t>
  </si>
  <si>
    <t>21.09.2021</t>
  </si>
  <si>
    <t>01.09.2021</t>
  </si>
  <si>
    <t>13.09.2021</t>
  </si>
  <si>
    <t>27.09.2021</t>
  </si>
  <si>
    <t>10.09.2021</t>
  </si>
  <si>
    <t>03.09.2021</t>
  </si>
  <si>
    <t>23.09.2021</t>
  </si>
  <si>
    <t>28.09.2021</t>
  </si>
  <si>
    <t>24.12.2020</t>
  </si>
  <si>
    <t>21.01.2021</t>
  </si>
  <si>
    <t>12.07.2021</t>
  </si>
  <si>
    <t>25.02.2021</t>
  </si>
  <si>
    <t>09.10.2020</t>
  </si>
  <si>
    <t>20.10.2020</t>
  </si>
  <si>
    <t>08.10.2020</t>
  </si>
  <si>
    <t>16.10.2020</t>
  </si>
  <si>
    <t>14.10.2020</t>
  </si>
  <si>
    <t>06.10.2020</t>
  </si>
  <si>
    <t>05.10.2020</t>
  </si>
  <si>
    <t>21.10.2020</t>
  </si>
  <si>
    <t>05.11.2020</t>
  </si>
  <si>
    <t>04.11.2020</t>
  </si>
  <si>
    <t>18.11.2020</t>
  </si>
  <si>
    <t>03.11.2020</t>
  </si>
  <si>
    <t>10.11.2020</t>
  </si>
  <si>
    <t>17.11.2020</t>
  </si>
  <si>
    <t>16.11.2020</t>
  </si>
  <si>
    <t>13.11.2020</t>
  </si>
  <si>
    <t>23.11.2020</t>
  </si>
  <si>
    <t>02.12.2020</t>
  </si>
  <si>
    <t>17.12.2020</t>
  </si>
  <si>
    <t>16.12.2020</t>
  </si>
  <si>
    <t>23.12.2020</t>
  </si>
  <si>
    <t>15.12.2020</t>
  </si>
  <si>
    <t>14.12.2020</t>
  </si>
  <si>
    <t>22.12.2020</t>
  </si>
  <si>
    <t>03.12.2020</t>
  </si>
  <si>
    <t>09.12.2020</t>
  </si>
  <si>
    <t>18.12.2020</t>
  </si>
  <si>
    <t>04.01.2021</t>
  </si>
  <si>
    <t>08.01.2021</t>
  </si>
  <si>
    <t>07.01.2021</t>
  </si>
  <si>
    <t>14.01.2021</t>
  </si>
  <si>
    <t>06.01.2021</t>
  </si>
  <si>
    <t>13.01.2021</t>
  </si>
  <si>
    <t>20.01.2021</t>
  </si>
  <si>
    <t>12.01.2021</t>
  </si>
  <si>
    <t>19.01.2021</t>
  </si>
  <si>
    <t>05.01.2021</t>
  </si>
  <si>
    <t>22.01.2021</t>
  </si>
  <si>
    <t>25.01.2021</t>
  </si>
  <si>
    <t>15.02.2021</t>
  </si>
  <si>
    <t>11.02.2021</t>
  </si>
  <si>
    <t>05.02.2021</t>
  </si>
  <si>
    <t>10.02.2021</t>
  </si>
  <si>
    <t>19.02.2021</t>
  </si>
  <si>
    <t>03.02.2021</t>
  </si>
  <si>
    <t>09.02.2021</t>
  </si>
  <si>
    <t>04.03.2021</t>
  </si>
  <si>
    <t>10.03.2021</t>
  </si>
  <si>
    <t>17.03.2021</t>
  </si>
  <si>
    <t>24.03.2021</t>
  </si>
  <si>
    <t>15.03.2021</t>
  </si>
  <si>
    <t>23.03.2021</t>
  </si>
  <si>
    <t>05.03.2021</t>
  </si>
  <si>
    <t>11.03.2021</t>
  </si>
  <si>
    <t>19.03.2021</t>
  </si>
  <si>
    <t>19.04.2021</t>
  </si>
  <si>
    <t>16.04.2021</t>
  </si>
  <si>
    <t>05.04.2021</t>
  </si>
  <si>
    <t>09.04.2021</t>
  </si>
  <si>
    <t>23.04.2021</t>
  </si>
  <si>
    <t>22.04.2021</t>
  </si>
  <si>
    <t>21.04.2021</t>
  </si>
  <si>
    <t>20.04.2021</t>
  </si>
  <si>
    <t>26.04.2021</t>
  </si>
  <si>
    <t>06.05.2021</t>
  </si>
  <si>
    <t>12.05.2021</t>
  </si>
  <si>
    <t>11.05.2021</t>
  </si>
  <si>
    <t>07.05.2021</t>
  </si>
  <si>
    <t>03.05.2021</t>
  </si>
  <si>
    <t>20.05.2021</t>
  </si>
  <si>
    <t>24.05.2021</t>
  </si>
  <si>
    <t>16.06.2021</t>
  </si>
  <si>
    <t>08.06.2021</t>
  </si>
  <si>
    <t>01.06.2021</t>
  </si>
  <si>
    <t>17.05.2021</t>
  </si>
  <si>
    <t>07.06.2021</t>
  </si>
  <si>
    <t>15.06.2021</t>
  </si>
  <si>
    <t>11.06.2021</t>
  </si>
  <si>
    <t>23.06.2021</t>
  </si>
  <si>
    <t>10.06.2021</t>
  </si>
  <si>
    <t>22.06.2021</t>
  </si>
  <si>
    <t>21.06.2021</t>
  </si>
  <si>
    <t>18.06.2021</t>
  </si>
  <si>
    <t>14.07.2021</t>
  </si>
  <si>
    <t>02.07.2021</t>
  </si>
  <si>
    <t>13.07.2021</t>
  </si>
  <si>
    <t>01.07.2021</t>
  </si>
  <si>
    <t>22.07.2021</t>
  </si>
  <si>
    <t>09.07.2021</t>
  </si>
  <si>
    <t>20.07.2021</t>
  </si>
  <si>
    <t>16.07.2021</t>
  </si>
  <si>
    <t>05.07.2021</t>
  </si>
  <si>
    <t>09.08.2021</t>
  </si>
  <si>
    <t>15.07.2021</t>
  </si>
  <si>
    <t>18.08.2021</t>
  </si>
  <si>
    <t>17.08.2021</t>
  </si>
  <si>
    <t>16.08.2021</t>
  </si>
  <si>
    <t>13.08.2021</t>
  </si>
  <si>
    <t>25.08.2021</t>
  </si>
  <si>
    <t>24.08.2021</t>
  </si>
  <si>
    <t>23.08.2021</t>
  </si>
  <si>
    <t>10.08.2021</t>
  </si>
  <si>
    <t>20.08.2021</t>
  </si>
  <si>
    <t>22.09.2021</t>
  </si>
  <si>
    <t>09.09.2021</t>
  </si>
  <si>
    <t>16.09.2021</t>
  </si>
  <si>
    <t>08.09.2021</t>
  </si>
  <si>
    <t>14.09.2021</t>
  </si>
  <si>
    <t>06.09.2021</t>
  </si>
  <si>
    <t>20.09.2021</t>
  </si>
  <si>
    <t>17.09.2021</t>
  </si>
  <si>
    <t>24.09.2021</t>
  </si>
  <si>
    <t>15.09.2021</t>
  </si>
  <si>
    <t>29.09.2021</t>
  </si>
  <si>
    <t>25.09.2021</t>
  </si>
  <si>
    <t>ปรับปรุงวัสดุ</t>
  </si>
  <si>
    <t>ปรับปรุงค่าวัสดุ</t>
  </si>
  <si>
    <t>ค่าใช้จ่ายในการฝึกอบรมฯ</t>
  </si>
  <si>
    <t>ค่าใช้จ่ายในการประชุม ฯ</t>
  </si>
  <si>
    <t>26.10.2020</t>
  </si>
  <si>
    <t>11.11.2020</t>
  </si>
  <si>
    <t>26.11.2020</t>
  </si>
  <si>
    <t>ล้างลูกหนี้เงินยืมเงินบำรุง นางนิดา เมตจิตกุล</t>
  </si>
  <si>
    <t>24.11.2020</t>
  </si>
  <si>
    <t>คชจ.ในการฝึกอบรม</t>
  </si>
  <si>
    <t>ล้างลูกหนี้เงินยืม-นายนพดล เชื้อเมืองพาน</t>
  </si>
  <si>
    <t>09.03.2021</t>
  </si>
  <si>
    <t>บร.53/302</t>
  </si>
  <si>
    <t>ล้างลูกหนี้เงินยืม น.ส.วิมล ตุ้ยแก้ว</t>
  </si>
  <si>
    <t>ล้างลูกหนี้เงินยืมบำรุง น.ส.พิมพ์ประไพ จารุจินดา</t>
  </si>
  <si>
    <t>19.08.2021</t>
  </si>
  <si>
    <t>ค่าอาหารกลางวันเจ้าหน้าที่ รพ.</t>
  </si>
  <si>
    <t>ล้างลูกหนี้เงินยืมบำรุง นางสาวปณิชา พงษ์นิกร</t>
  </si>
  <si>
    <t>ล้างลูกหนี้เงินยืมเงินบำรุง น.ส.พิมพ์ประไพ จารุฯ</t>
  </si>
  <si>
    <t>คชจ.ในการฝึกอบรมฯ</t>
  </si>
  <si>
    <t>27.01.2021</t>
  </si>
  <si>
    <t>ค่าใช้จ่ายเดินทางไปราชการ</t>
  </si>
  <si>
    <t>17.01.2021</t>
  </si>
  <si>
    <t>ปรับปรุงสินค้าสำเร็จรูป</t>
  </si>
  <si>
    <t>คชจ.พิธีทางศาสนา</t>
  </si>
  <si>
    <t>ปรับปรุงต้นทุนขายสินค้าและบริการ</t>
  </si>
  <si>
    <t>ปรับปรุงต้นทุนขายค่าเวชภัณฑ์และเวชภัณฑ์มิใช่ยา</t>
  </si>
  <si>
    <t>ค่าตอบแทนวิทยากร</t>
  </si>
  <si>
    <t>ค่าตอบแทน</t>
  </si>
  <si>
    <t>ค่าวิทยากร</t>
  </si>
  <si>
    <t>ค่าสมัครสมาชิก ฯ</t>
  </si>
  <si>
    <t>ล้างลูกหนี้เงินยืมเงินบำรุง น.ส.ดุริยา ฟองมูล</t>
  </si>
  <si>
    <t>ปป.ค่าเสื่อมปีเก่าครุภัณฑ์สำนักงาน Matching Fund</t>
  </si>
  <si>
    <t>ปป.ค่าเสื่อมปีเก่าครุภัณฑ์วิทย์ฯ Matching Fund</t>
  </si>
  <si>
    <t>ปป.ค่าใช้สอยของปี63 (หลอดไฟ LED) #5000009321</t>
  </si>
  <si>
    <t>ตั้งค่าเผื่อหนี้สงสัยจะสูญปี 2564</t>
  </si>
  <si>
    <t>K0</t>
  </si>
  <si>
    <t>20.11.2020</t>
  </si>
  <si>
    <t>210035200P2977</t>
  </si>
  <si>
    <t>BPR 5200P2977000</t>
  </si>
  <si>
    <t>KA</t>
  </si>
  <si>
    <t>วัสดุอุปกรณ์ที่ใช้ในโรงพยาบาล</t>
  </si>
  <si>
    <t>กำแพงกันคลื่น</t>
  </si>
  <si>
    <t>BPR 5200P2978000</t>
  </si>
  <si>
    <t>เชื้อเพลิงที่ใช้ในการขับเคลื่อน</t>
  </si>
  <si>
    <t>บริการให้ความคุ้มครอง:พนักงานรักษาความปล</t>
  </si>
  <si>
    <t>ธาตุอาหาร</t>
  </si>
  <si>
    <t>(ยกเลิก)บริการทำความสะอาดอาคารและสำนักงา</t>
  </si>
  <si>
    <t>บริการดูแลรักษา:สวน</t>
  </si>
  <si>
    <t>(ยกเลิก)การจ้างงาน</t>
  </si>
  <si>
    <t>(ยกเลิก)บริการซักรีด</t>
  </si>
  <si>
    <t>อาหารว่าง</t>
  </si>
  <si>
    <t>(ยกเลิก)การบำรุงรักษาและซ่อมแซมเครื่องมื</t>
  </si>
  <si>
    <t>(ยกเลิก)บริการจัดเลี้ยงและจัดเลี้ยงนอกสถ</t>
  </si>
  <si>
    <t>ค่าเช่าเบ็ดเตล็ด-นอก</t>
  </si>
  <si>
    <t>เงินช่วยเหลือ-ตาย</t>
  </si>
  <si>
    <t>ค่ารักษา-ใน-เอกชน</t>
  </si>
  <si>
    <t>คชจ.ฝึกอบรม-ภายนอก</t>
  </si>
  <si>
    <t>บันทึกค่าธรรมเนียม ธ.11990-3 วันที่ 14/10/63</t>
  </si>
  <si>
    <t>บันทึกค่าธรรมเนียม ธ.11990-3 วันที่ 8/10/63</t>
  </si>
  <si>
    <t>บันทึกค่าธรรมเนียม ธ.73821-0 วันที่ 29/10/63</t>
  </si>
  <si>
    <t>บันทึกค่าธรรมเนียม ธ.11990-3 วันที่ 10/11/64</t>
  </si>
  <si>
    <t>01.10.2020</t>
  </si>
  <si>
    <t>บันทึกค่าธรรมเนียม ธ.73821-0 วันที่ 30/9/63</t>
  </si>
  <si>
    <t>บันทึกค่าธรรมเนียม ธ.11990-3 วันที่ 30/9/63</t>
  </si>
  <si>
    <t>บันทึกค่าธรรมเนียม ธ.73821-0 วันที่ 5/10/63</t>
  </si>
  <si>
    <t>บันทึกค่าธรรมเนียม ธ.11990-3 วันที่ 5/10/63</t>
  </si>
  <si>
    <t>ค่าธรรมเนียม73821-0 วันที่  22 ต.ค. 63</t>
  </si>
  <si>
    <t>บันทึกค่าธรรมเนียม ธ.73821-0 วันที่ 21/10/63</t>
  </si>
  <si>
    <t>02.10.2020</t>
  </si>
  <si>
    <t>บันทึกค่าธรรมเนียม ธ.73821-0 วันที่ 1/10/63</t>
  </si>
  <si>
    <t>บันทึกค่าธรรมเนียม ธ.73821-0 วันที่ 10/11/63</t>
  </si>
  <si>
    <t>บันทึกค่าธรรมเนียม ธ.73821-0 วันที่ 13/11/63</t>
  </si>
  <si>
    <t>บันทึกค่าธรรมเนียม ธ.11990-3 วันที่ 12/11/63</t>
  </si>
  <si>
    <t>ค่าธรรมเนียม73821-0 วันที่  25 พ.ย. 63</t>
  </si>
  <si>
    <t>บันทึกค่าธรรมเนียม ธ.11990-3 วันที่ 18/11/63</t>
  </si>
  <si>
    <t>บันทึกค่าธรรมเนียม ธ.73821-0 วันที่ 9/12/63</t>
  </si>
  <si>
    <t>บันทึกค่าธรรมเนียม ธ.73821-0 วันที่ 1/12/63</t>
  </si>
  <si>
    <t>07.10.2020</t>
  </si>
  <si>
    <t>บันทึกค่าธรรมเนียม ธ.73821-0 วันที่ 6/10/63</t>
  </si>
  <si>
    <t>ค่าธรรเนียมธ.11990-3 วันที่  7 ต.ค. 63</t>
  </si>
  <si>
    <t>ค่าธรรมเนียม73821-0 วันที่  7 ต.ค. 63</t>
  </si>
  <si>
    <t>บันทึกค่าธรรมเนียม ธ.73821-0 วันที่ 16/10/63</t>
  </si>
  <si>
    <t>บันทึกค่าธรรมเนียม ธ.11990-3 วันที่ 16/10/63</t>
  </si>
  <si>
    <t>29.10.2020</t>
  </si>
  <si>
    <t>บันทึกค่าธรรมเนียม ธ.73821-0 วันที่ 28/10/63</t>
  </si>
  <si>
    <t>บันทึกค่าธรรมเนียม ธ.11990-3 วันที่ 28/10/63</t>
  </si>
  <si>
    <t>บันทึกค่าธรรมเนียม ธ.73821-0 วันที่ 15/10/63</t>
  </si>
  <si>
    <t>บันทึกค่าธรรมเนียม ธ.11990-3 วันที่ 15/10/63</t>
  </si>
  <si>
    <t>บันทึกค่าธรรมเนียม ธ.73821-0 วันที่ 27/10/63</t>
  </si>
  <si>
    <t>บันทึกค่าธรรมเนียม ธ.11990-3 วันที่ 27/10/63</t>
  </si>
  <si>
    <t>บันทึกค่าธรรมเนียม ธ.73821-0 วันที่ 14/10/63</t>
  </si>
  <si>
    <t>บันทึกค่าธรรมเนียม ธ.73821-0 วันที่ 26/10/63</t>
  </si>
  <si>
    <t>บันทึกค่าธรรมเนียม ธ.11990-3 วันที่ 26/10/63</t>
  </si>
  <si>
    <t>บันทึกค่าธรรมเนียม ธ.73821-0 วันที่ 12/10/63</t>
  </si>
  <si>
    <t>บันทึกค่าธรรมเนียม ธ.11990-3 วันที่ 12/10/63</t>
  </si>
  <si>
    <t>บันทึกค่าธรรมเนียม ธ.73821-0 วันที่ 9/10/63</t>
  </si>
  <si>
    <t>บันทึกค่าธรรมเนียม ธ.11990-3 วันที่ 9/10/63</t>
  </si>
  <si>
    <t>ค่าธรรมเนียมธ. 1190-3 วันที่  22 ต.ค. 63</t>
  </si>
  <si>
    <t>บันทึกค่าธรรมเนียม ธ.73821-0 วันที่ 2/10/63</t>
  </si>
  <si>
    <t>บันทึกค่าธรรมเนียม ธ.11990-3 วันที่ 2/10/63</t>
  </si>
  <si>
    <t>บันทึกค่าธรรมเนียม ธ.73821-0 วันที่ 8/10/63</t>
  </si>
  <si>
    <t>บันทึกค่าธรรมเนียม ธ.11990-3 วันที่ 21/10/63</t>
  </si>
  <si>
    <t>บันทึกค่าธรรมเนียม ธ.73821-0 วันที่ 19/10/63</t>
  </si>
  <si>
    <t>บันทึกค่าธรรมเนียม ธ.73821-0 วันที่ 20/10/63</t>
  </si>
  <si>
    <t>บันทึกค่าธรรมเนียม ธ.11990-3 วันที่ 29/10/63</t>
  </si>
  <si>
    <t>บันทึกค่าธรรมเนียม ธ.73821-0 วันที่ 16/11/63</t>
  </si>
  <si>
    <t>บันทึกค่าธรรมเนียม ธ.73821-0 วันที่ 6/11/63</t>
  </si>
  <si>
    <t>บันทึกค่าธรรมเนียม ธ.73821-0 วันที่ 12/11/63</t>
  </si>
  <si>
    <t>บันทีกค่าธรรมเนียม ธ.11990-3 วันที่ 5/11/63</t>
  </si>
  <si>
    <t>12.11.2020</t>
  </si>
  <si>
    <t>บันทึกค่าธรรมเนียม ธ.73821-0 วันที่ 11/11/63</t>
  </si>
  <si>
    <t>ค่าธรรมเนียม ธ. 11990-3 วันที่ 25  พ.ย. 63</t>
  </si>
  <si>
    <t>ค่าธรรมเนียม ธ. 11990-3 วันที่ 23 พ.ย. 63</t>
  </si>
  <si>
    <t>ค่าธรรมเนียม73821-0 วันที่ 23 พ.ย. 63</t>
  </si>
  <si>
    <t>บันทึกค่าธรรมเนียม ธ.73821-0 วันที่ 18/11/63</t>
  </si>
  <si>
    <t>บันทึกค่าธรรมเนียม ธ.11990-3 วันที่ 17/11/63</t>
  </si>
  <si>
    <t>บันทึกค่าธรรมเนียม ธ.73821-0 วันที่ 23/12/63</t>
  </si>
  <si>
    <t>บันทึกค่าธรรมเนียม ธ.73821-0 วันที่ 2/12/63</t>
  </si>
  <si>
    <t>บันทึกค่าธรรมเนียม ธ.11990-3 วันที่ 2/12/63</t>
  </si>
  <si>
    <t>บันทึกค่าธรรมเนียม ธ.73821-0 วันที่ 17/12/63</t>
  </si>
  <si>
    <t>บันทึกค่าธรรมเนียม ธ.11990-3 วันที่ 1/12/63</t>
  </si>
  <si>
    <t>01.12.2020</t>
  </si>
  <si>
    <t>บันทึกค่าธรรมเนียม ธ.73821-0 วันที่ 30/11/63</t>
  </si>
  <si>
    <t>บันทึกค่าธรรมเนียม ธ.11990-3 วันที่ 16/12/63</t>
  </si>
  <si>
    <t>บันทึกค่าธรรมเนียม ธ.73821-0 วันที่ 3/12/63</t>
  </si>
  <si>
    <t>บันทึกค่าธรรมเนียม ธ.73821-0 วันที่ 4/12/63</t>
  </si>
  <si>
    <t>บันทึกค่าธรรมเนียม ธ.11990-3 วันที่ 15/1/64</t>
  </si>
  <si>
    <t>ค่าธรรมเนียมธ. 73821-0  วันที่ 7 ม.ค. 64</t>
  </si>
  <si>
    <t>บันทึกค่าธรรมเนียม ธ.11990-3 วันที่ 21/1/64</t>
  </si>
  <si>
    <t>บันทึกค่าธรรมเนียม ธ.73821-0 วันที่ 9/2/64</t>
  </si>
  <si>
    <t>บันทึกค่าธรรมเนียม ธ.11990-3 วันที่ 9/3/64</t>
  </si>
  <si>
    <t>บันทึกค่าธรรมเนียม ธ.73821-0 วันที่ 5/1/64</t>
  </si>
  <si>
    <t>บันทึกค่าธรรมเนียม ธ.73821-0 วันที่ 3/11/63</t>
  </si>
  <si>
    <t>บันทึกค่าธรรมเนียม ธ.11990-3 วันที่ 3/11/63</t>
  </si>
  <si>
    <t>บันทึกค่าธรรมเนียม ธ.11990-3 วันที่ 2/11/63</t>
  </si>
  <si>
    <t>บันทึกค่าธรรมเนียม ธ.73821-0 วันที่ 9/11/63</t>
  </si>
  <si>
    <t>บันทึกค่าธรรมเนียม ธ.11990-3 วันที่ 19/11/63</t>
  </si>
  <si>
    <t>บันทึกค่าธรรมเนียม ธ.11990-3 วันที่ 16/11/63</t>
  </si>
  <si>
    <t>บันทึกค่าธรรมเนียม ธ.73821-0 วันที่ 30/10/63</t>
  </si>
  <si>
    <t>บันทึกค่าธรรมเนียม ธ.11990-3 วันที่ 30/10/63</t>
  </si>
  <si>
    <t>บันทึกค่าธรรมเนียม ธ.11990-3 วันที่ 6/11/63</t>
  </si>
  <si>
    <t>บันทึกค่าธรรมเนียม ธ.11990-3 วันที่ 13/11/63</t>
  </si>
  <si>
    <t>บันทึกค่าธรรมเนียม ธ.73821-0 วันที่ 27/11/63</t>
  </si>
  <si>
    <t>บันทึกค่าธรรมเนียม ธ.11990-3 วันที่ 27/11/63</t>
  </si>
  <si>
    <t>บันทีกค่าธรรมเนียม ธ.73821-0 วันที่ 4/11/63</t>
  </si>
  <si>
    <t>บันทีกค่าธรรมเนียม ธ.11990-3 วันที่ 4/11/63</t>
  </si>
  <si>
    <t>บันทีกค่าธรรมเนียม ธ.73821-0 วันที่ 5/11/63</t>
  </si>
  <si>
    <t>บันทึกค่าธรรมเนียม ธ.11990-3 วันที่ 11/11/2563</t>
  </si>
  <si>
    <t>ค่าธรรเนียมธ.11990-3 วันที่  24 พ.ย. 63</t>
  </si>
  <si>
    <t>ค่าธรรมเนียม73821-0 วันที่  24 พ.ย. 63</t>
  </si>
  <si>
    <t>บันทึกค่าธรรมเนียม ธ.73821-0 วันที่ 17/11/63</t>
  </si>
  <si>
    <t>บันทึกค่าธรรมเนียม ธ.11990-3 วันที่ 23/12/63</t>
  </si>
  <si>
    <t>บันทึกค่าธรรมเนียม ธ.73821-0 วันที่ 14/12/63</t>
  </si>
  <si>
    <t>บันทึกค่าธรรมเนียม ธ.11990-3 วันที่ 14/12/63</t>
  </si>
  <si>
    <t>บันทึกค่าธรรมเนียม ธ.11990-3 วันที่ 15/12/63</t>
  </si>
  <si>
    <t>บันทึกค่าธรรมเนียม ธ.73821-0 วันที่ 15/12/63</t>
  </si>
  <si>
    <t>บันทึกค่าธรรมเนียม ธ.11990-3 วันที่ 29/12/63</t>
  </si>
  <si>
    <t>บันทึกค่าธรรมเนียม ธ.73821-0 วันที่ 29/12/63</t>
  </si>
  <si>
    <t>บันทึกค่าธรรมเนียม ธ.73821-0 วันที่ 22/12/63</t>
  </si>
  <si>
    <t>บันทึกค่าธรรมเนียม ธ.11990-3 วันที่ 22/12/63</t>
  </si>
  <si>
    <t>บันทึกค่าธรรมเนียม ธ.11990-3 วันที่ 9/12/63</t>
  </si>
  <si>
    <t>บันทึกค่าธรรมเนียม ธ.73821-0 วันที่ 18/12/63</t>
  </si>
  <si>
    <t>บันทึกค่าธรรมเนียม ธ.11990-3 วันที่ 18/12/63</t>
  </si>
  <si>
    <t>บันทึกค่าธรรมเนียม ธ.11990-3 วันที่ 21/12/63</t>
  </si>
  <si>
    <t>บันทึกค่าธรรมเนียม ธ.73821-0 วันที่ 21/12/63</t>
  </si>
  <si>
    <t>บันทึกค่าธรรมเนียม ธ.73821-0 วันที่ 28/12/63</t>
  </si>
  <si>
    <t>บันทึกค่าธรรมเนียม ธ.11990-3 วันที่ 28/12/63</t>
  </si>
  <si>
    <t>บันทึกค่าธรรมเนียม ธ.11990-3 วันที่ 3/12/63</t>
  </si>
  <si>
    <t>บันทึกค่าธรรมเนียม ธ.11990-3 วันที่ 4/12/63</t>
  </si>
  <si>
    <t>บันทึกค่าธรรมเนียม ธ.73821-0 วันที่ 7/12/63</t>
  </si>
  <si>
    <t>บันทึกค่าธรรมเนียม ธ.11990-3 วันที่ 7/12/63</t>
  </si>
  <si>
    <t>บันทึกค่าธรรมเนียม ธ.73821-0 วันที่ 8/12/63</t>
  </si>
  <si>
    <t>บันทึกค่าธรรมเนียม ธ.11990-3 วันที่ 8/12/63</t>
  </si>
  <si>
    <t>บันทึกค่าธรรมเนียม ธ.73821-0 วันที่ 25/12/63</t>
  </si>
  <si>
    <t>บันทึกค่าธรรมเนียม ธ.11990-3 วันที่ 25/12/63</t>
  </si>
  <si>
    <t>บันทึกค่าธรรมเนียม ธ.11990-3 วันที่ 17/12/63</t>
  </si>
  <si>
    <t>บันทึกค่าธรรมเนียม ธ.73821-0 วันที่ 24/12/63</t>
  </si>
  <si>
    <t>บันทึกค่าธรรมเนียม ธ.11990-3 วันที่ 24/12/63</t>
  </si>
  <si>
    <t>บันทึกค่าธรรมเนียม ธ.11990-3 วันที่ 30/11/63</t>
  </si>
  <si>
    <t>บันทึกค่าธรรมเนียม ธ.73821-0 วันที่ 16/12/63</t>
  </si>
  <si>
    <t>บันทึกค่าธรรมเนียม ธ.73821-0 วันที่ 19/1/64</t>
  </si>
  <si>
    <t>บันทึกค่าธรรมเนียม ธ.73821-0 วันที่ 26/1/64</t>
  </si>
  <si>
    <t>บันทึกค่าธรรมเนียม ธ.73821-0 วันที่ 8/1/64</t>
  </si>
  <si>
    <t>บันทึกค่าธรรมเนียม ธ.11990-3 วันที่ 8/1/64</t>
  </si>
  <si>
    <t>บันทึกค่าธรรมเนียม ธ.11990-3 วันที่ 22/1/64</t>
  </si>
  <si>
    <t>ค่าธรรมเนียมธ. 11990-3 วันที่ 7 ม.ค. 64</t>
  </si>
  <si>
    <t>บันทึกค่าธรรมเนียม ธ.73821-0 วันที่ 14/1/64</t>
  </si>
  <si>
    <t>บันทึกค่าธรรมเนียม ธ.11990-3 วันที่ 14/1/64</t>
  </si>
  <si>
    <t>บันทึกค่าธรรมเนียม ธ.73821-0 วันที่ 4/2/64</t>
  </si>
  <si>
    <t>บันทึกค่าธรรมเนียม ธ.11990-3 วันที่ 4/2/64</t>
  </si>
  <si>
    <t>บันทึกค่าธรรมเนียม ธ.73821-0 วันที่ 3/2/64</t>
  </si>
  <si>
    <t>บันทึกค่าธรรมเนียม ธ.11990-3 วันที่ 9/2/64</t>
  </si>
  <si>
    <t>บันทึกค่าธรรมเนียม ธ.73821-0 วันที่ 11/2/64</t>
  </si>
  <si>
    <t>บันทึกค่าธรรมเนียม ธ.11990-3 วันที่ 11/2/64</t>
  </si>
  <si>
    <t>16.02.2021</t>
  </si>
  <si>
    <t>บันทึกค่าธรรมเนียม ธ.73821-0 วันที่ 15/2/64</t>
  </si>
  <si>
    <t>บันทึกค่าธรรมเนียม ธ.11990-3 วันที่ 15/2/64</t>
  </si>
  <si>
    <t>บันทึกค่าธรรมเนียม ธ.73821-0 วันที่ 29/1/64</t>
  </si>
  <si>
    <t>08.02.2021</t>
  </si>
  <si>
    <t>บันทึกค่าธรรมเนียม ธ.11990-3 วันที่ 5/2/64</t>
  </si>
  <si>
    <t>บันทึกค่าธรรมเนียม ธ.73821-0 วันที่ 17/2/64</t>
  </si>
  <si>
    <t>บันทึกค่าธรรมเนียม ธ.73821-0 วันที่ 18/2/64</t>
  </si>
  <si>
    <t>บันทึกค่าธรรมเนียม ธ.11990-3 วันที่ 18/2/64</t>
  </si>
  <si>
    <t>บันทึกค่าธรรมเนียม ธ.73821-0 วันที่ 2/3/64</t>
  </si>
  <si>
    <t>บันทึกค่าธรรมเนียม ธ.11990-3 วันที่ 2/3/64</t>
  </si>
  <si>
    <t>ค่าธรรมเนียม ธ. 73821-0</t>
  </si>
  <si>
    <t>บันทึกค่าธรรมเนียม ธ.73821-0 วันที่ 1/3/64</t>
  </si>
  <si>
    <t>บันทึกค่าธรรมเนียม ธ.11990-3 วันที่ 25/2/64</t>
  </si>
  <si>
    <t>บันทึกค่าธรรมเนียม ธ.11990-3 วันที่ 20/1/64</t>
  </si>
  <si>
    <t>ค่าธรรมเนียมธ. 11990-3 วันที่  1 กุมภาพันธ์ 2564</t>
  </si>
  <si>
    <t>28.04.2021</t>
  </si>
  <si>
    <t>บันทึกค่าธรรมเนียม ธ.73821-0 วันที่ 27/4/64</t>
  </si>
  <si>
    <t>13.05.2021</t>
  </si>
  <si>
    <t>ค่าธรรมเนียมธ.73821-0 วันที่ 11.5.2564</t>
  </si>
  <si>
    <t>ค่าธรรมเนียมธ.11990-3 วันที่ 14.6.2564</t>
  </si>
  <si>
    <t>บันทึกค่าธรรมเนียม ธ.73821-0 วันที่ 25/2/64</t>
  </si>
  <si>
    <t>27.11.2020</t>
  </si>
  <si>
    <t>บันทึกค่าธรรมเนียม ธ.73821-0 วันที่ 26/11/63</t>
  </si>
  <si>
    <t>บันทึกค่าธรรมเนียม ธ.11990-3 วันที่ 26/11/63</t>
  </si>
  <si>
    <t>บันทึกค่าธรรมเนียม ธ.11990-3 วันที่ 6/1/64</t>
  </si>
  <si>
    <t>บันทึกค่าธรรมเนียม ธ.73821-0 วันที่ 6/1/64</t>
  </si>
  <si>
    <t>บันทึกค่าธรรมเนียม ธ.73821-0 วันที่ 13/1/64</t>
  </si>
  <si>
    <t>บันทึกค่าธรรมเนียม ธ.73821-0 วันที่ 28/1/64</t>
  </si>
  <si>
    <t>บันทึกค่าธรรมเนียม ธ.73821-0 วันที่ 12/1/64</t>
  </si>
  <si>
    <t>บันทึกค่าธรรมเนียม ธ.73821-0 วันที่ 27/1/64</t>
  </si>
  <si>
    <t>บันทึกค่าธรรมเนียม ธ.11990-3 วันที่ 27/1/64</t>
  </si>
  <si>
    <t>บันทึกค่าธรรมเนียม ธ.73821-0 วันที่ 4/1/64</t>
  </si>
  <si>
    <t>บันทึกค่าธรรมเนียม ธ.73821-0 วันที่ 11/1/64</t>
  </si>
  <si>
    <t>บันทึกค่าธรรมเนียม ธ.11990-3 วันที่ 11/1/64</t>
  </si>
  <si>
    <t>บันทึกค่าธรรมเนียม ธ.11990-3 วันที่ 26/1/64</t>
  </si>
  <si>
    <t>บันทึกค่าธรรมเนียม ธ.11990-3 วันที่ 18/1/64</t>
  </si>
  <si>
    <t>บันทึกค่าธรรมเนียม ธ.11990-3 วันที่ 25/1/64</t>
  </si>
  <si>
    <t>บันทึกค่าธรรมเนียม ธ.73821-0 วันที่ 25/1/64</t>
  </si>
  <si>
    <t>บันทึกค่าธรรมเนียม ธ.73821-0 วันที่ 15/1/64</t>
  </si>
  <si>
    <t>บันทึกค่าธรรมเนียม ธ.73821-0 วันที่ 30/12/63</t>
  </si>
  <si>
    <t>บันทึกค่าธรรมเนียม ธ.11990-3 วันที่ 30/12/63</t>
  </si>
  <si>
    <t>บันทึกค่าธรรมเนียม ธ.73821-0 วันที่ 10/2/64</t>
  </si>
  <si>
    <t>บันทึกค่าธรรมเนียม ธ.11990-3 วันที่ 10/2/64</t>
  </si>
  <si>
    <t>บันทึกค่าธรรมเนียม ธ.11990-3 วันที่ 3/2/64</t>
  </si>
  <si>
    <t>บันทึกค่าธรรมเนียม ธ.11990-3 วันที่ 17/2/64</t>
  </si>
  <si>
    <t>ค่าธรรมเนียมธ. 73821-0  วันที่  1  ก.พ. 64</t>
  </si>
  <si>
    <t>บันทึกค่าธรรมเนียม ธ.73821-0 วันที่ 2/2/64</t>
  </si>
  <si>
    <t>บันทึกค่าธรรมเนียม ธ.11990-3 วันที่ 2/2/64</t>
  </si>
  <si>
    <t>24.02.2021</t>
  </si>
  <si>
    <t>บันทึกค่าธรรมเนียม ธ.73821-0 วันที่ 22/2/64</t>
  </si>
  <si>
    <t>บันทึกค่าธรรมเนียม ธ.73821-0 วันที่ 23/2/64</t>
  </si>
  <si>
    <t>บันทึกค่าธรรมเนียม ธ.73821-0 วันที่ 8/2/64</t>
  </si>
  <si>
    <t>บันทึกค่าธรรมเนียม ธ.73821-0 วันที่ 16/2/64</t>
  </si>
  <si>
    <t>23.02.2021</t>
  </si>
  <si>
    <t>บันทึกค่าธรรมเนียม ธ.11990-3 วันที่ 22/2/64</t>
  </si>
  <si>
    <t>บันทึกค่าธรรมเนียม ธ.73821-0 วันที่ 5/2/64</t>
  </si>
  <si>
    <t>บันทึกค่าธรรมเนียม ธ.73821-0 วันที่ 24/2/64</t>
  </si>
  <si>
    <t>บันทึกค่าธรรมเนียม ธ.11990-3 วันที่ 24/2/64</t>
  </si>
  <si>
    <t>บันทึกค่าธรรมเนียม ธ.73821-0 วันที่ 8/3/64</t>
  </si>
  <si>
    <t>บันทึกค่าธรรมเนียม ธ.73821-0 วันที่ 15/3/64</t>
  </si>
  <si>
    <t>บันทึกค่าธรรมเนียม ธ.11990-3 วันที่ 15/3/64</t>
  </si>
  <si>
    <t>บันทึกค่าธรรมเนียม ธ.11990-3 วันที่ 1/3/64</t>
  </si>
  <si>
    <t>บันทึกค่าธรรมเนียม ธ.73821-0 วันที่ 22/3/64</t>
  </si>
  <si>
    <t>บันทึกค่าธรรมเนียม ธ.73821-0 วันที่ 5/3/64</t>
  </si>
  <si>
    <t>บันทึกค่าธรรมเนียม ธ.11990-3 วันที่ 5/3/64</t>
  </si>
  <si>
    <t>บันทึกค่าธรรมเนียม ธ.73821-0 วันที่ 12/3/64</t>
  </si>
  <si>
    <t>บันทึกค่าธรรมเนียม ธ.11990-3 วันที่ 12/3/64</t>
  </si>
  <si>
    <t>ค่าธรรมเนียมธ.11990-3 วันที่ 25.3.2564</t>
  </si>
  <si>
    <t>บันทึกค่าธรรมเนียม ธ.73821-0 วันที่ 19/3/64</t>
  </si>
  <si>
    <t>บันทึกค่าธรรมเนียม ธ.11990-3 วันที่ 4/3/64</t>
  </si>
  <si>
    <t>บันทึกค่าธรรมเนียม ธ.73821-0 วันที่ 3/3/64</t>
  </si>
  <si>
    <t>บันทึกค่าธรรมเนียม ธ.11990-3 วันที่ 3/3/64</t>
  </si>
  <si>
    <t>บันทึกค่าธรรมเนียม ธ.11990-3 วันที่ 24/3/64</t>
  </si>
  <si>
    <t>บันทึกค่าธรรมเนียม ธ.11990-3 วันที่ 23/3/64</t>
  </si>
  <si>
    <t>บันทึกค่าธรรมเนียม ธ.11990-3 วันที่ 30/3/64</t>
  </si>
  <si>
    <t>บันทึกค่าธรรมเนียม ธ.73821-0 วันที่ 9/4/64</t>
  </si>
  <si>
    <t>บันทึกค่าธรรมเนียม ธ.73821-0 วันที่ 10/4/64</t>
  </si>
  <si>
    <t>บันทึกค่าธรรมเนียม ธ.11990-3 วันที่ 9/4/64</t>
  </si>
  <si>
    <t>บันทึกค่าธรรมเนียม ธ.73821-0 วันที่ 1/4/64</t>
  </si>
  <si>
    <t>บันทึกค่าธรรมเนียม ธ.11990-3 วันที่ 1/4/64</t>
  </si>
  <si>
    <t>บันทึกค่าธรรมเนียม ธ.11990-3 วันที่ 21/4/64</t>
  </si>
  <si>
    <t>ค่าธรรมเนียมธ.73821-0 วันที่ 12.5.2564</t>
  </si>
  <si>
    <t>บันทึกค่าธรรมเนียม ธ.73821-0 วันที่ 30/4/64</t>
  </si>
  <si>
    <t>ค่าธรรมเนียมธ.73821-0 วันที่ 18.5.2564</t>
  </si>
  <si>
    <t>28.05.2021</t>
  </si>
  <si>
    <t>ค่าธรรมเนียมธ.11990-3 วันที่ 27.5.2564</t>
  </si>
  <si>
    <t>ค่าธรรมเนียมธ.11990-3 วันที่ 19.5.2564</t>
  </si>
  <si>
    <t>ค่าธรรมเนียมธ.11990-3 วันที่ 15.6.2564</t>
  </si>
  <si>
    <t>ค่าธรรมเนียมธ.73821-0 วันที่ 15.6.2564</t>
  </si>
  <si>
    <t>บันทึกค่าธรรมเนียม ธ.73821-0 วันที่ 11/3/64</t>
  </si>
  <si>
    <t>ค่าธรรมเนียมธ.73821-0 วันที่ 31.5.2564</t>
  </si>
  <si>
    <t>14.06.2021</t>
  </si>
  <si>
    <t>ค่าธรรมเนียมธ.11990-3 วันที่ 11.6.2564</t>
  </si>
  <si>
    <t>ค่าธรรมเนียมธ.11990-3 วันที่ 16.6.2564</t>
  </si>
  <si>
    <t>บันทึกค่าธรรมเนียม ธ.73821-0 วันที่ 2/8/64</t>
  </si>
  <si>
    <t>บันทึกค่าธรรมเนียม ธ.73821-0 วันที่ 21/9/64</t>
  </si>
  <si>
    <t>บันทึกค่าธรรมเนียม ธ.11990-3 วันที่ 17/9/64</t>
  </si>
  <si>
    <t>ค่าธรรมเนียมธ.73821-0 วันที่ 11.6.2564</t>
  </si>
  <si>
    <t>บันทึกค่าธรรมเนียม ธ.11990-3 วันที่ 19/3/64</t>
  </si>
  <si>
    <t>บันทึกค่าธรรมเนียม ธ.73821-0 วันที่ 4/3/64</t>
  </si>
  <si>
    <t>ค่าธรรมเนียมธ. 73821-0  วันที่  11 ก.พ. 64</t>
  </si>
  <si>
    <t>บันทึกค่าธรรมเนียม ธ.73821-0 วันที่ 18/3/64</t>
  </si>
  <si>
    <t>บันทึกค่าธรรมเนียม ธ.11990-3 วันที่ 18/3/64</t>
  </si>
  <si>
    <t>บันทึกค่าธรรมเนียม ธ.73821-0 วันที่ 9/3/64</t>
  </si>
  <si>
    <t>บันทึกค่าธรรมเนียม ธ.11990-3 วันที่ 8/3/64</t>
  </si>
  <si>
    <t>18.03.2021</t>
  </si>
  <si>
    <t>บันทึกค่าธรรมเนียม ธ.73821-0 วันที่ 17/3/64</t>
  </si>
  <si>
    <t>บันทึกค่าธรรมเนียม ธ.11990-3 วันที่ 17/3/64</t>
  </si>
  <si>
    <t>บันทึกค่าธรรมเนียม ธ.73821-0 วันที่ 16/3/64</t>
  </si>
  <si>
    <t>บันทึกค่าธรรมเนียม ธ.73821-0 วันที่ 23/3/64</t>
  </si>
  <si>
    <t>ค่าธรรมเนียม ธ. 11990-3 วันที่ 29 มี.ค. 64</t>
  </si>
  <si>
    <t>ค่าธรรมเนียม ธ. 73821-0 วันที่ 29 มี.ค. 64</t>
  </si>
  <si>
    <t>บันทึกค่าธรรมเนียม ธ.73821-0 วันที่ 30/3/64</t>
  </si>
  <si>
    <t>บันทึกค่าธรรมเนียม ธ.73821-0 วันที่ 2/4/64</t>
  </si>
  <si>
    <t>บันทึกค่าธรรมเนียม ธ.11990-3 วันที่ 2/4/64</t>
  </si>
  <si>
    <t>ค่าธรรมเนียมธ.11990-3 วันที่ 7.4.2564</t>
  </si>
  <si>
    <t>ค่าธรรมเนียม ธ. 73821-0 วันที่ 7.4.2564</t>
  </si>
  <si>
    <t>บันทึกค่าธรรมเนียม ธ.73821-0 วันที่ 8/4/64</t>
  </si>
  <si>
    <t>บันทึกค่าธรรมเนียม ธ.73821-0 วันที่ 21/4/64</t>
  </si>
  <si>
    <t>บันทึกค่าธรรมเนียม ธ.73821-0 วันที่ 28/4/64</t>
  </si>
  <si>
    <t>บันทึกค่าธรรมเนียม ธ.11990-3 วันที่ 20/4/64</t>
  </si>
  <si>
    <t>บันทึกค่าธรรมเนียม ธ.11990-3 วันที่ 31/3/64</t>
  </si>
  <si>
    <t>บันทึกค่าธรรมเนียม ธ.73821-0 วันที่ 5/4/64</t>
  </si>
  <si>
    <t>บันทึกค่าธรรมเนียม ธ.11990-3 วันที่ 5/4/64</t>
  </si>
  <si>
    <t>บันทึกค่าธรรมเนียม ธ.73821-0 วันที่ 26/4/64</t>
  </si>
  <si>
    <t>บันทึกค่าธรรมเนียม ธ.11990-3 วันที่ 19/4/64</t>
  </si>
  <si>
    <t>บันทึกค่าธรรมเนียม ธ.73821-0 วันที่ 23/4/64</t>
  </si>
  <si>
    <t>บันทึกค่าธรรมเนียม ธ.73821-0 วันที่ 16/4/64</t>
  </si>
  <si>
    <t>บันทึกค่าธรรมเนียม ธ.73821-0 วันที่ 29/4/64</t>
  </si>
  <si>
    <t>บันทึกค่าธรรมเนียม ธ.11990-3 วันที่ 29/4/64</t>
  </si>
  <si>
    <t>บันทึกค่าธรรมเนียม ธ.73821-0 วันที่ 3/5/64</t>
  </si>
  <si>
    <t>บันทึกค่าธรรมเนียม ธ.73821-0 วันที่ 7/5/64</t>
  </si>
  <si>
    <t>บันทึกค่าธรรมเนียม ธ.11990-3 วันที่ 7/5/64</t>
  </si>
  <si>
    <t>ค่าธรรมเนียมธ.11990-3 วันที่ 18.5.2564</t>
  </si>
  <si>
    <t>บันทึกค่าธรรมเนียม ธ.73821-0 วันที่ 6/5/64</t>
  </si>
  <si>
    <t>บันทึกค่าธรรมเนียม ธ.11990-3 วันที่ 6/5/64</t>
  </si>
  <si>
    <t>ค่าธรรมเนียมธ.73821-0 วันที่ 24.5.2564</t>
  </si>
  <si>
    <t>ค่าธรรมเนียมธ.11990-3 วันที่ 24.5.2564</t>
  </si>
  <si>
    <t>ค่าธรรมเนียมธ.73821-0 วันที่ 17.5.2564</t>
  </si>
  <si>
    <t>ค่าธรรมเนียมธ.73821-0 วันที่ 21.5.2564</t>
  </si>
  <si>
    <t>ค่าธรรมเนียมธ.11990-3 วันที่ 21.5.2564</t>
  </si>
  <si>
    <t>ค่าธรรมเนียมธ.73821-0 วันที่ 28.5.2564</t>
  </si>
  <si>
    <t>ค่าธรรมเนียมธ.11990-3 วันที่ 14.5.2564</t>
  </si>
  <si>
    <t>ค่าธรรมเนียมธ.73821-0 วันที่ 14.5.2564</t>
  </si>
  <si>
    <t>ค่าธรรมเนียมธ.73821-0 วันที่ 20.5.2564</t>
  </si>
  <si>
    <t>ค่าธรรมเนียมธ.11990-3 วันที่ 20.5.2564</t>
  </si>
  <si>
    <t>ค่าธรรมเนียมธ.73821-0 วันที่ 27.5.2564</t>
  </si>
  <si>
    <t>ค่าธรรมเนียมธ.73821-0 วันที่ 13.5.2564</t>
  </si>
  <si>
    <t>ค่าธรรมเนียมธ.73821-0 วันที่ 19.5.2564</t>
  </si>
  <si>
    <t>ค่าธรรมเนียมธ.73821-0 วันที่ 25.5.2564</t>
  </si>
  <si>
    <t>ค่าธรรมเนียมธ.11990-3 วันที่ 31.5.2564</t>
  </si>
  <si>
    <t>ค่าธรรมเนียมธ.73821-0 วันที่ 14.6.2564</t>
  </si>
  <si>
    <t>ค่าธรรมเนียมธ.73821-0 วันที่ 4.6.2564</t>
  </si>
  <si>
    <t>ค่าธรรมเนียมธ.11990-3 วันที่ 4.6.2564</t>
  </si>
  <si>
    <t>ค่าธรรมเนียมธ.73821-0 วันที่ 24.6.2564</t>
  </si>
  <si>
    <t>ค่าธรรมเนียมธ.73821-0 วันที่ 22.6.2564</t>
  </si>
  <si>
    <t>ค่าธรรมเนียมธ.11990-3 วันที่ 9.6.2564</t>
  </si>
  <si>
    <t>ค่าธรรมเนียมธ.73821-0 วันที่ 9.6.2564</t>
  </si>
  <si>
    <t>ค่าธรรมเนียมธ.11990-3 วันที่ 29.6.2564</t>
  </si>
  <si>
    <t>09.06.2021</t>
  </si>
  <si>
    <t>ค่าธรรมเนียมธ.73821-0 วันที่ 8.6.2564</t>
  </si>
  <si>
    <t>ค่าธรรมเนียมธ.73821-0 วันที่ 7.6.2564</t>
  </si>
  <si>
    <t>ค่าธรรมเนียมธ.73821-0 วันที่ 16.6.2564</t>
  </si>
  <si>
    <t>ค่าธรรมเนียมธ.73821-0 วันที่ 1.7.2564</t>
  </si>
  <si>
    <t>ค่าธรรมเนียม ธ.73821-0 วันที่ 21.7.2564</t>
  </si>
  <si>
    <t>ค่าธรรมเนียมธ.11990-3 วันที่ 7.7.2564</t>
  </si>
  <si>
    <t>ค่าธรรมเนียม ธ.73821-0 วันที่ 4.8.2564</t>
  </si>
  <si>
    <t>02.08.2021</t>
  </si>
  <si>
    <t>บันทึกค่าธรรมเนียม ธ.11990-3 วันที่ 30/7/64</t>
  </si>
  <si>
    <t>27.08.2021</t>
  </si>
  <si>
    <t>บันทึกค่าธรรมเนียม ธ.73821-0 วันที่ 26/8/64</t>
  </si>
  <si>
    <t>บันทึกค่าธรรมเนียม ธ.73821-0 วันที่ 3/9/64</t>
  </si>
  <si>
    <t>ค่าธรรมเนียมธ.11990-3 วันที่ 8.6.2564</t>
  </si>
  <si>
    <t>ค่าธรรมเนียม ธ.73821-0 วันที่ 3.8.2564</t>
  </si>
  <si>
    <t>บันทึกค่าธรรมเนียม ธ.11990-3 วันที่ 2/8/64</t>
  </si>
  <si>
    <t>บันทึกค่าธรรมเนียม ธ.73821-0 วันที่ 30/7/64</t>
  </si>
  <si>
    <t>บันทึกค่าธรรมเนียม ธ.73821-0 วันที่ 18/8/64</t>
  </si>
  <si>
    <t>ค่าธรรมเนียมธ.73821-0 วันที่ 2.6.2564</t>
  </si>
  <si>
    <t>ค่าธรรมเนียมธ.11990-3 วันที่ 2.6.2564</t>
  </si>
  <si>
    <t>ค่าธรรมเนียมธ.11990-3 วันที่ 23.6.2564</t>
  </si>
  <si>
    <t>บันทึกค่าธรรมเนียม ธ.73821-0 วันที่ 10/6/64</t>
  </si>
  <si>
    <t>ค่าธรรมเนียมธ.11990-3 วันที่ 22.6.2564</t>
  </si>
  <si>
    <t>ค่าธรรมเนียมธ.73821-0 วันที่ 1.6.2564</t>
  </si>
  <si>
    <t>ค่าธรรมเนียมธ.73821-0 วันที่ 21.6.2564</t>
  </si>
  <si>
    <t>ค่าธรรมเนียมธ.11990-3 วันที่ 21.6.2564</t>
  </si>
  <si>
    <t>ค่าธรรมเนียมธ.73821-0 วันที่ 18.6.2564</t>
  </si>
  <si>
    <t>ค่าธรรมเนียมธ.11990-3 วันที่ 18.6.2564</t>
  </si>
  <si>
    <t>ค่าธรรมเนียมธ.11990-3 วันที่ 7.6.2564</t>
  </si>
  <si>
    <t>ค่าธรรมเนียมธ.11990-3 วันที่ 17.6.2564</t>
  </si>
  <si>
    <t>ค่าธรรมเนียมธ.73821-0 วันที่ 17.6.2564</t>
  </si>
  <si>
    <t>ค่าธรรมเนียมธ.73821-0 วันที่ 28.6.2564</t>
  </si>
  <si>
    <t>ค่าธรรมเนียมธ.11990-3 วันที่ 28.6.2564</t>
  </si>
  <si>
    <t>ค่าธรรมเนียมธ.73821-0 วันที่ 25.6.2564</t>
  </si>
  <si>
    <t>ค่าธรรมเนียม ธ.73821-0 วันที่ 13.7.2564</t>
  </si>
  <si>
    <t>27.07.2021</t>
  </si>
  <si>
    <t>บันทึกค่าธรรมเนียม ธ.73821-0 วันที่ 22/7/64</t>
  </si>
  <si>
    <t>บันทึกค่าธรรมเนียม ธ.11990-3 วันที่ 23/7/64</t>
  </si>
  <si>
    <t>ค่าธรรมเนียมธ.73821-0 วันที่ 30.6.2564</t>
  </si>
  <si>
    <t>ค่าธรรมเนียมธ.73821-0 วันที่ 9.7.2564</t>
  </si>
  <si>
    <t>ค่าธรรมเนียมธ.11990-3 วันที่ 9.7.2564</t>
  </si>
  <si>
    <t>ค่าธรรมเนียมธ.73821-0 วันที่ 8.7.2564</t>
  </si>
  <si>
    <t>ค่าธรรมเนียมธ.11990-3 วันที่ 8.7.2564</t>
  </si>
  <si>
    <t>ค่าธรรมเนียม ธ.11990-3 วันที่ 21.7.2564</t>
  </si>
  <si>
    <t>21.07.2021</t>
  </si>
  <si>
    <t>ค่าธรรมเนียม ธ.11990-3 วันที่ 20.7.2564</t>
  </si>
  <si>
    <t>ค่าธรรมเนียมธ.73821-0 วันที่ 7.7.2564</t>
  </si>
  <si>
    <t>บันทึกค่าธรรมเนียม ธ.11990-3 วันที่ 19/7/64</t>
  </si>
  <si>
    <t>บันทึกค่าธรรมเนียม ธ.73821-0 วันที่ 19/7/64</t>
  </si>
  <si>
    <t>ค่าธรรมเนียม ธ.73821-0 วันที่ 16.7.2564</t>
  </si>
  <si>
    <t>ค่าธรรมเนียม ธ.11990-3 วันที่ 16.7.2564</t>
  </si>
  <si>
    <t>ค่าธรรมเนียมธ.73821-0 วันที่ 5.7.2564</t>
  </si>
  <si>
    <t>บันทึกค่าธรรมเนียม ธ.73821-0 วันที่ 29/7/64</t>
  </si>
  <si>
    <t>ค่าธรรมเนียม ธ.73821-0 วันที่ 14.7.2564</t>
  </si>
  <si>
    <t>29.07.2021</t>
  </si>
  <si>
    <t>บันทึกค่าธรรมเนียม ธ.73821-0 วันที่ 27/7/64</t>
  </si>
  <si>
    <t>บันทึกค่าธรรมเนียม ธ.11990-3 วันที่ 17/8/64</t>
  </si>
  <si>
    <t>ค่าธรรมเนียม ธ.11990-3 วันที่ 4.8.2564</t>
  </si>
  <si>
    <t>ค่าธรรมเนียม ธ.73821-0 วันที่ 16.8.2564</t>
  </si>
  <si>
    <t>บันทึกค่าธรรมเนียม ธ.73821-0 วันที่ 25/8/64</t>
  </si>
  <si>
    <t>บันทึกค่าธรรมเนียม ธ.73821-0 วันที่ 11/8/64</t>
  </si>
  <si>
    <t>บันทึกค่าธรรมเนียม ธ.73821-0 วันที่ 24/8/64</t>
  </si>
  <si>
    <t>ค่าธรรมเนียม ธ.11990-3 วันที่ 9.8.2564</t>
  </si>
  <si>
    <t>บันทึกค่าธรรมเนียม ธ.73821-0 วันที่ 20/8/64</t>
  </si>
  <si>
    <t>บันทึกค่าธรรมเนียม ธ.73821-0 วันที่ 14/9/64</t>
  </si>
  <si>
    <t>บันทึกค่าธรรมเนียม ธ.73821-0 วันที่ 6/9/64</t>
  </si>
  <si>
    <t>บันทึกค่าธรรมเนียม ธ.73821-0 วันที่ 10/9/64</t>
  </si>
  <si>
    <t>บันทึกค่าธรรมเนียม ธ.11990-3 วันที่ 23/9/64</t>
  </si>
  <si>
    <t>บันทึกค่าธรรมเนียม ธ.73821-0 วันที่ 17/9/64</t>
  </si>
  <si>
    <t>ค่าธรรมเนียมธ.11990-3 วันที่ 7.5.2564</t>
  </si>
  <si>
    <t>บันทึกค่าธรรมเนียม ธ.11990-3 วันที่ 8/9/64</t>
  </si>
  <si>
    <t>ค่าธรรมเนียมธ.73821-0 วันที่ 2.7.2564</t>
  </si>
  <si>
    <t>บันทึกค่าธรรมเนียม ธ.73821-0 วันที่ 16/9/64</t>
  </si>
  <si>
    <t>บันทึกค่าธรรมเนียม ธ.11990-3 วันที่ 22/9/64</t>
  </si>
  <si>
    <t>บันทึกค่าธรรมเนียม ธ.73821-0 วันที่ 22/9/64</t>
  </si>
  <si>
    <t>บันทึกค่าธรรมเนียม ธ.73821-0 วันที่ 8/9/64</t>
  </si>
  <si>
    <t>บันทึกค่าธรรมเนียม ธ.73821-0 วันที่ 28/9/64</t>
  </si>
  <si>
    <t>ค่าธรรมเนียม ธ.73821-0 วันที่ 21.9.2564</t>
  </si>
  <si>
    <t>บันทึกค่าธรรมเนียม ธ.73821-0 วันที่ 27/9/64</t>
  </si>
  <si>
    <t>บร.100/301</t>
  </si>
  <si>
    <t>ก๊อกหมุนสับทางน้ำ</t>
  </si>
  <si>
    <t>สายไฟ</t>
  </si>
  <si>
    <t>กล่องป้องกันการนำไฟฟ้า</t>
  </si>
  <si>
    <t>ท่อหรืองานท่อซีเมนต์</t>
  </si>
  <si>
    <t>(ยกเลิก) ผลิตกัณฑ์ก๊าซที่ใช้ทางการแพทย์</t>
  </si>
  <si>
    <t>ใบเลื่อย</t>
  </si>
  <si>
    <t>จอบ</t>
  </si>
  <si>
    <t>แบตเตอรี่ของพาหนะ</t>
  </si>
  <si>
    <t>สีน้ำมันหรือสารตัวกลางชนิดละลายน้ำได้</t>
  </si>
  <si>
    <t>อุปกรณ์เปลี่ยนหลอดไฟ</t>
  </si>
  <si>
    <t>น้ำมันเบนซินหรือน้ำมันปิโตร</t>
  </si>
  <si>
    <t>ค่าบำรุงรักษาหรือสนับสนุน</t>
  </si>
  <si>
    <t>ขวดพลาสติก</t>
  </si>
  <si>
    <t>หอผู้ป่วยวิกฤต</t>
  </si>
  <si>
    <t>งานบริการซ่อมแซมทั่วไป</t>
  </si>
  <si>
    <t>(ยกเลิก)บริการด้านการบรรจุ</t>
  </si>
  <si>
    <t>บริการซ่อมบำรุงลิฟต์</t>
  </si>
  <si>
    <t>(ยกเลิก) อาหารเสริมและผลิตภัณฑ์ที่เกี่ยว</t>
  </si>
  <si>
    <t>บริการทำบัญชี:ค่าจ้างแรงงาน</t>
  </si>
  <si>
    <t>(ยกเลิก)การกำจัดขยะที่เป็นอันตราย</t>
  </si>
  <si>
    <t>ม่าน</t>
  </si>
  <si>
    <t>พัดลม</t>
  </si>
  <si>
    <t>เก้าอี้</t>
  </si>
  <si>
    <t>เลื่อย</t>
  </si>
  <si>
    <t>พัดลมต่าง ๆ</t>
  </si>
  <si>
    <t>คอมพิวเตอร์แบบตั้งโต๊ะ</t>
  </si>
  <si>
    <t>รถเข็น</t>
  </si>
  <si>
    <t>วัสดุอุปกรณ์ที่ใช้งานด้านการเกษตร การเลี</t>
  </si>
  <si>
    <t>เครื่องฉีดสเปรย์สำหรับใช้ในห้องปฏิบัติกา</t>
  </si>
  <si>
    <t>เครื่องกระตุ้นกล้ามเนื้อและเส้นประสาท</t>
  </si>
  <si>
    <t>ตู้เย็น</t>
  </si>
  <si>
    <t>210035200P2976</t>
  </si>
  <si>
    <t>BPR 5200P2976000</t>
  </si>
  <si>
    <t>*</t>
  </si>
  <si>
    <t>8.งานยุทธศาสตร์และแผนงาน</t>
  </si>
  <si>
    <t>6.กลุ่มงานการเงินและบัญชี</t>
  </si>
  <si>
    <t>8.กลุ่มงานรังสีวินิจฉัย</t>
  </si>
  <si>
    <t>14.1 วิเคราะห์ปัญหาวางแผนการให้โภชนบำบัดแก่ผู้ป่วยที่ขาดอาหาร</t>
  </si>
  <si>
    <t>14.2 ให้โภชนบำบัดแก่ผู้ป่วยกรณีแพทย์ส่ง Consult</t>
  </si>
  <si>
    <t>ตารางที่ 1 รายงานต้นทุนรวมของหน่วยงาน งวด 12 เดือน ปีงบประมาณ 2565 โดยแยกประเภทตามแหล่งเงิน</t>
  </si>
  <si>
    <t>TE-ภายในกรมเดียวกัน</t>
  </si>
  <si>
    <t>5103020102</t>
  </si>
  <si>
    <t>5103020199</t>
  </si>
  <si>
    <t>ค่าใช้จ่ายเดินทางไปราชการ - ต่างประเทศ</t>
  </si>
  <si>
    <t>5104010114</t>
  </si>
  <si>
    <t>ค่าธรรมเนียมทางกฎหมาย</t>
  </si>
  <si>
    <t>5203010112</t>
  </si>
  <si>
    <t>ค่าจำหน่าย-ยานพาหนะและอุปกรณ์การขนส่ง</t>
  </si>
  <si>
    <t>5211010101</t>
  </si>
  <si>
    <t>บัญชีโอนสินทรัพย์ให้หน่วยงานของรัฐ</t>
  </si>
  <si>
    <t xml:space="preserve">บวก </t>
  </si>
  <si>
    <t>24.1 จำนวนผู้ป่วยที่ส่งปรึกษาและได้รับการดูแลแบบประคับประคอง</t>
  </si>
  <si>
    <t>24.1.ให้คำปรึกษาและได้รับการดูแลแบบประคับประคอง</t>
  </si>
  <si>
    <t>11.1 ให้การตรวจประเมิน ฟื้นฟูสมรรถภาพ รักษาทางกายภาพบำบัด สอนสาธิตการบริหารร่างกาย</t>
  </si>
  <si>
    <t>11.1 ให้บริการตรวจประเมิน ฟื้นฟูสมรรถภาพ รักษาทางกายภาพบำบัด สอนสาธิตการบริหารร่างกาย</t>
  </si>
  <si>
    <t>24.1 ให้คำปรึกษาและได้รับการดูแลแบบประคับประคอง</t>
  </si>
  <si>
    <t>11.1. ให้การตรวจประเมิน ฟื้นฟูสมรรถภาพ รักษาทางกายภาพบำบัด สอนสาธิตการบริหารร่างกาย</t>
  </si>
  <si>
    <t>24.1. ให้คำปรึกษาและได้รับการดูแลแบบประคับประคอง</t>
  </si>
  <si>
    <t>20.1 สร้างเสริมสุขภาพบุคลากร</t>
  </si>
  <si>
    <t>20.1 สร้างเสริมสุขภาพผู้ป่วยและญาติ</t>
  </si>
  <si>
    <t>5.งานบำรุงรักษา</t>
  </si>
  <si>
    <t>10.กลุ่มงานพยาธิวิทยากายวิภาค</t>
  </si>
  <si>
    <t>11.1 ให้การตรวจประเมิน ฟื้นฟูสมรรถภาพ รักษาทางกายภาพบำบัด</t>
  </si>
  <si>
    <t>4.พัฒนาเครือข่ายวิชาการส่งต่อทุกระดับ</t>
  </si>
  <si>
    <t>3.พัฒนาเครือข่ายวิขาการส่งต่อทุกระดับ</t>
  </si>
  <si>
    <t>3.พัฒนาเครือข่ายวิชาการส่งต่อทุกระดับ</t>
  </si>
  <si>
    <t>16.1 บันทึกฐานข้อมูลผู้ป่วยใหม่/ปรับปรุงข้อมูลผู้ป่วยเก่า</t>
  </si>
  <si>
    <t>16.2 การค้นหาแฟ้มเวชระเบียน</t>
  </si>
  <si>
    <t>16.1.  บันทึกฐานข้อมูลผู้ป่วยใหม่/ปรับปรุงข้อมูลผู้ป่วยเก่า</t>
  </si>
  <si>
    <t>16.2. การค้นหาแฟ้มเวชระเบียน</t>
  </si>
  <si>
    <t>16.3. งานข้อมูลและสถิติทางการแพทย์</t>
  </si>
  <si>
    <t>16.3 งานข้อมูลและสถิติทางการแพทย์</t>
  </si>
  <si>
    <t>ชิ้น</t>
  </si>
  <si>
    <t>18.งานศูนย์ข้อมูลข่าวสาร</t>
  </si>
  <si>
    <t>20.งานวิจัย</t>
  </si>
  <si>
    <t>21.งานพัฒนานโยบายและยุทธศาสตร์การแพทย์</t>
  </si>
  <si>
    <t>22.ศูนย์พัฒนาคุณภาพ</t>
  </si>
  <si>
    <t>20.กลุ่มงานวิจัย</t>
  </si>
  <si>
    <t>21.งานพัฒนานโยบาลและยุทธศาสตร์การแพทย์</t>
  </si>
  <si>
    <t>22.งานพัฒนาคุณภาพ</t>
  </si>
  <si>
    <t>20.กลุ่มงานวิจัยและประเมินเทคโนโลยี</t>
  </si>
  <si>
    <t>18.1. งานบำรุงรักษาเครื่องคอมพิวเตอร์ และระบบ HIS</t>
  </si>
  <si>
    <t>19.1บริการจัดห้องประชุม</t>
  </si>
  <si>
    <t>19.1 บริการจัดห้องประชุม</t>
  </si>
  <si>
    <t>20.1. การให้บริการตรวจพิเศษทางห้องปฏิบัติการ ( HBV Viral Load)</t>
  </si>
  <si>
    <t>20.2. จัดทำรายงานความก้าวหน้าของโครงการวิจัยงบประมาณประจำปี 2557</t>
  </si>
  <si>
    <t>21.1ดำเนินงานพัฒนานโยบายและยุทธศาสตร์การแพทย์</t>
  </si>
  <si>
    <t>22.1.ติดตามตัวชี้วัดระดับองค์กร(ความพึงพอใจ/กพร.)</t>
  </si>
  <si>
    <t>18.1งานบำรุงรักษาเครื่องคอมพิวเตอร์ และระบบ HIS</t>
  </si>
  <si>
    <t>20.1การให้บริการตรวจพิเศษทางห้องปฏิบัติการ (HBV Viral Load)</t>
  </si>
  <si>
    <t>20.20จัดทำรายงานความก้าวหน้าของโครงการวิจัยงบประมาณประจำปี 2566</t>
  </si>
  <si>
    <t>21.1งานพัฒนานโยบาลและยุทธศาสตร์การแพทย์</t>
  </si>
  <si>
    <t>22.1ศูนย์พัฒนาคุณภาพ</t>
  </si>
  <si>
    <t>ตารางที่ 12  รายงานเปรียบเทียบต้นทุนทางอ้อมตามลักษณะของต้นทุน (คงที่/ผันแปร)</t>
  </si>
  <si>
    <t>หมายเหตุ (อธิบายความแตกต่างระหว่างค่าใช้จ่ายในระบบ New GFMIS Thai และต้นทุนที่นำมาคำนวณต้นทุนผลผลิต)</t>
  </si>
  <si>
    <t>ค่าใช้จ่ายในระบบ New GFMIS Thai</t>
  </si>
  <si>
    <t>21.งานพัฒนานโยบายและยุทธศาตร์การแพทย์</t>
  </si>
  <si>
    <t>22.กลุ่มงานพัฒนาคุณภาพ</t>
  </si>
  <si>
    <t>ต้นทุนผลผลิตประจำปีงบประมาณ พ.ศ. 2567 (ตค.66 - กย.67)</t>
  </si>
  <si>
    <t>ต้นทุนทางตรงปีงปบระมาณ พ.ศ. 2567</t>
  </si>
  <si>
    <t>ต้นทุนทางอ้อมปีงปบระมาณ พ.ศ. 2567</t>
  </si>
  <si>
    <t>ปีงบประมาณ พ.ศ. 2567</t>
  </si>
  <si>
    <t>19.1.บริการจัดห้องประชุม</t>
  </si>
  <si>
    <t xml:space="preserve">จึงทำให้ผู้มารับบริการมีทางเลือกในการใช้บริการได้ทุกที่ที่สะดวก </t>
  </si>
  <si>
    <t>21.2. จัดทำรายงานความก้าวหน้าของโครงการวิจัยงบประมาณประจำปี 2567</t>
  </si>
  <si>
    <t>จึงทำให้คชจ.ในการฝึกอบรมลดลง</t>
  </si>
  <si>
    <t>20.กลุ่มงานพยาบาลหอผู้ป่วยหนักและห้องแยก</t>
  </si>
  <si>
    <t>21. กลุ่มงานพยาบาลป้องกันและควบคุมการติดเชื้อ</t>
  </si>
  <si>
    <t>9.3 ตรวจสอบสิทธิทุกประเภท</t>
  </si>
  <si>
    <t>6.กลุ่มงานการเงินและบัญชร</t>
  </si>
  <si>
    <t>19.งานสนับสนุนวิชาการ</t>
  </si>
  <si>
    <t>20.งานสนับสนุนวิชาการ</t>
  </si>
  <si>
    <t>9.กลุ่มงานประกันสุขภาพ</t>
  </si>
  <si>
    <t>15.กลุ่มงานดิจิทัลการแพทย์</t>
  </si>
  <si>
    <t>20.1การให้บริการตรวจพิเศษทางห้องปฏิบัติการ</t>
  </si>
  <si>
    <t>20.2จัดทำรายงานความก้าวหน้าของโครงการวิจัยงบประมาณประจำปี 2568</t>
  </si>
  <si>
    <t>21.ดำเนินงานพัฒนานโยบายและยุทธศาสตร์การแพทย์</t>
  </si>
  <si>
    <t>22.ติดตามตัวชี้วัดระดับองค์กร(ความพี่งพอใจ/กพร.)</t>
  </si>
  <si>
    <t>17.ด้านจัดการข้อมูล</t>
  </si>
  <si>
    <t>18.งานบำรุงรักษาเครื่องคอมพิวเตอร์ และระบบ HIS</t>
  </si>
  <si>
    <t>19.บริการจัดห้องประชุม</t>
  </si>
  <si>
    <t>28.กลุ่มงานสังคมสงเคราะห์ทางการแพทย์</t>
  </si>
  <si>
    <t>28.ประเมินสภาพปัญหาและวินิจฉัยทางสังคมในกลุ่มผู้ป่วยมะเร็งที่ประสบปัญหาทางสังคม</t>
  </si>
  <si>
    <t>28.1 ประเมินสภาพปัญหาและวินิจฉัยทางสังคมในกลุ่มผู้ป่วยมะเร็งที่ประสบปัญหาทางสังคม</t>
  </si>
  <si>
    <t>ตารางเปรียบเทียบผลการคำนวณต้นทุนผลผลิตระหว่างปีงบประมาณ พ.ศ. 2567 และ ปีงบประมาณ พ.ศ. 2568</t>
  </si>
  <si>
    <t>ต้นทุนผลผลิตประจำปีงบประมาณ พ.ศ. 2567 (ตค.66- กย.67)</t>
  </si>
  <si>
    <t>ต้นทุนผลผลิตประจำปีงบประมาณ พ.ศ. 2568 (ตค.67 - กย.68)</t>
  </si>
  <si>
    <t>ปี 2569 ตัดออกไม่มีรายการนี้แล้ว</t>
  </si>
  <si>
    <t>ตารางที่ 1 รายงานต้นทุนรวมของหน่วยงาน งวด 12 เดือน ปีงบประมาณ 2568 โดยแยกประเภทตามแหล่งเงิน</t>
  </si>
  <si>
    <t>เงินช่วยพิเศษกรณีผู้รับบำนาญตาย</t>
  </si>
  <si>
    <t>ค่าใช้จ่ายภายในกรม</t>
  </si>
  <si>
    <t>ตารางเปรียบเทียบผลการคำนวณต้นทุนผลผลิตระหว่างปีงบประมาณ พ.ศ. 2567  และ ปีงบประมาณ พ.ศ. 2568</t>
  </si>
  <si>
    <t>ตารางเปรียบเทียบผลการคำนวณต้นทุนผลผลิตระหว่างปีงบประมาณ พ.ศ. 2567  และปีงบประมาณ พ.ศ. 2568</t>
  </si>
  <si>
    <t>รายงานเปรียบเทียบผลการคำนวณต้นทุนผลผลิตระหว่างปีงบประมาณ พ.ศ. 2567  และปีงบประมาณ พ.ศ. 2568</t>
  </si>
  <si>
    <t>ต้นทุนทางตรงปีงปบระมาณ พ.ศ. 2568</t>
  </si>
  <si>
    <t>รายงานเปรียบเทียบผลการคำนวณต้นทุนผลผลิตระหว่างปีงบประมาณ พ.ศ. 2567 และปีงบประมาณ พ.ศ. 2568</t>
  </si>
  <si>
    <t>ต้นทุนทางอ้อมปีงปบระมาณ พ.ศ. 2568</t>
  </si>
  <si>
    <t>ปีงบประมาณ พ.ศ. 2568</t>
  </si>
  <si>
    <t>เกิดจากในงบประมาณ 2567 ค่าตอบแทนใช้สอยและวัสดุมากเท่า ปี 2568</t>
  </si>
  <si>
    <t>จึงทำให้ค่าตอบแทน ใช้สอย และวัสดุ ในปี 2567 =  135,887,493.09 เพิ่มขึ้นในปี 2568 = 155,121,967 ทำให้ต้นทุนลดลง</t>
  </si>
  <si>
    <t>1. ต้นทุนทางอ้อม ค่าสาธารณูปโภค ต้นทุนเพิ่มขึ้น ร้อยละ 7.59</t>
  </si>
  <si>
    <t>เกิดจากในปีงบประมาณ 2567 ค่าสาธารณูปโภค ยอดค่าใช้จ่ายมากกว่า = 11,251,280.81 แต่ปี 2568 ลดลง = 10,397,817.19</t>
  </si>
  <si>
    <t>เนื่องจากปีงบประมาณ 2567 มียอดใช้จ่าย 9,744,107.84 ในปีงบประมาณ 2568 ลดลง = 9,518,824.28</t>
  </si>
  <si>
    <t>เนื่องจากในปีงบประมาณ 2568 เจ้าหน้าที่วิชาชีพมีการฝึกอบรมหลักสูตรระยะยาวมากกว่าระยะสั้น</t>
  </si>
  <si>
    <t>เนื่องจากปีงบประมาณ 2567  การดูแลรักษาผู้ป่วยนอกและผู้ป่วยในมีปริมาณ = 78,008  แต่ในปีงบประมาณ 2568 คงเหลือเพียง = 69,897  จึงทำให้ต้นทุนเพิ่มขี้น</t>
  </si>
  <si>
    <t>เนื่องจากปีงบประมาณ 2567 จำนวนผู้มารับบริการทั้งผู้ป่วยนอกและผู้ป่วยใน รวมกันที่ 78,008  ราย เพิ่มขึ้นในปีงบประมาณ 2568 เป็น 69,897  ราย จึงทำให้ต้นทุนในภาพรวมเพิ่มขึ้น</t>
  </si>
  <si>
    <t>2.กิจกรรมหลัก ที่ 2 ศึกษา วิจัย ประเมิน พัฒนาและถ่ายทอดองค์ความรู้ ต้นทุนต่อหน่วยลดลง ร้อยละ 12.83</t>
  </si>
  <si>
    <t>เนื่องจากปีงบประมาณ 2567 จำนวนงานโครงการฯที่เกี่ยวข้องกับการศึกษา วิจัย ประเมิน พัฒนาและถ่ายทอดองค์ความรู้  4 เรื่อง แต่ในปีงบประมาณ 2568 คงเหลือเพียง 4 เรื่องที่จัด จึงทำให้ต้นทุนลดลง</t>
  </si>
  <si>
    <r>
      <rPr>
        <b/>
        <sz val="16"/>
        <rFont val="TH Sarabun New"/>
        <family val="2"/>
      </rPr>
      <t>1.กิจกรรมหลักที่ 1 พัฒนาการรักษาระดับตติยภูมิและสูงกว่า (ตาราง 1.1)</t>
    </r>
    <r>
      <rPr>
        <sz val="16"/>
        <rFont val="TH Sarabun New"/>
        <family val="2"/>
      </rPr>
      <t xml:space="preserve">  ต้นทุนต่อหน่วยเพิ่มขึ้น ร้อยละ 27.09</t>
    </r>
  </si>
  <si>
    <t>1.ต้นทุนทางอ้อม ค่าตอบแทน ใช้สอย และวัสดุ ต้นทุนลดลง ร้อยละ 14.15</t>
  </si>
  <si>
    <t>ต้นทุนทางตรง มีต้นทุนผันแปร หมวดค่าใช้จ่ายในการฝึกอบรม  มีต้นทุนเพิ่มขึ้น  ร้อยละ 2.31</t>
  </si>
  <si>
    <t>1. กิจกรรมผลผลิตหลักที่ 1 สถานบริการด้านสุขภาพและระบบเครือข่ายการส่งต่อในทุกระดับได้รับการพัฒนาให้มีคุณภาพและครอบคลุม ต้นทุนเพิ่มขึ้น ร้อยละ 10.40</t>
  </si>
  <si>
    <r>
      <rPr>
        <b/>
        <sz val="16"/>
        <rFont val="TH Sarabun New"/>
        <family val="2"/>
      </rPr>
      <t>1.กิจกรรมหลักที่ 1 พัฒนาการรักษาระดับตติยภูมิและสูงกว่า (ตาราง 1.1)</t>
    </r>
    <r>
      <rPr>
        <sz val="16"/>
        <rFont val="TH Sarabun New"/>
        <family val="2"/>
      </rPr>
      <t xml:space="preserve">  ต้นทุนต่อหน่วยเพิ่มขึ้น ร้อยละ 10.40</t>
    </r>
  </si>
  <si>
    <t>เนื่องจากปีงบประมาณ 2567 จำนวนผู้มารับบริการทั้งผู้ป่วยใน รวมกันที่  3,471  ราย ลดลงในปีงบประมาณ 2568 = 2,848  ราย จึงทำให้ต้นทุนในภาพรวมเพิ่มขึ้น</t>
  </si>
  <si>
    <t>ปีงบประมาณ 2567 มี 18 ครั้ง แต่ในปี 2568 มี 8 ครั้ง เนื่องจากมีการจัดฝึกอบรมในหน่วยงานมากขึ้น</t>
  </si>
  <si>
    <t>เนื่องจากปี 2567 มีจำนวนผู้ป่วยมารับบริการผู้ป่วยนอก อยู่ 1,365 ราย แต่ในปี 2568 เพิ่มขึ้นเป็น 1,833 ราย เนื่องจากมีจำนวนผู้มาใช้บริการการกายภาพและฟื้นฟูสมรรถภาพ ทั้งผู้ป่วยและเจ้าหน้าที่มากขึ้น</t>
  </si>
  <si>
    <t>1.กิจกรรมย่อยที่ 13.1 บริการต้อนรับผู้ป่วยนอก ต้นทุนเพิ่มขึ้น ร้อยละ 10.76</t>
  </si>
  <si>
    <t>เนื่องจากปีงบประมาณ 2567 มี 40,776 ราย แต่ในปี 2568 มี 49,375 ราย ซึ่งมีผู้มารับบริการและเข้ารับการปรึกษามากขึ้นทำให้งานประชาสัมพันธ์มียอดต้อนรับเพิ่ม จึงทำให้ต้นทุนเพิ่มขึ้น</t>
  </si>
  <si>
    <t>1.กิจกรรมย่อยที่ 11.1 ให้การตรวจประเมินฟื้นฟูสมรรถภาพรักษาทางกายภาพบำบัด สอนสาธิตการบริหารร่างกาย ต้นทุนเพิ่มขึ้น ร้อยละ 56.46</t>
  </si>
  <si>
    <t>1.กิจกรรมย่อยที่ 11.1 ดำเนินการเกี่ยวกับการพัฒนาทรัพยากรบุคคลในหน่วยงาน ต้นทุนลดลง ร้อยละ 55.94</t>
  </si>
  <si>
    <t>1.กิจกรรมย่อยที่ 4.1 ให้บริการรักษาผู้ป่วยนอกนอก ต้นทุนลดลง ร้อยละ 530.77</t>
  </si>
  <si>
    <t>เนื่องจากปี 2567 มีจำนวนผู้ป่วยมารับบริการผู้ป่วยนอก อยู่ 74,537 ราย แต่ในปี 2568  เพิ่มขึ้นเป็น 15,285 ราย เนื่องจากทุกโรงพยาบาลประจำจังหวัดในประเทศสามารถรักษามะเร็งได้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</si>
</sst>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000000"/>
    <numFmt numFmtId="167" formatCode="_-* #,##0_-;\-* #,##0_-;_-* &quot;-&quot;??_-;_-@_-"/>
    <numFmt numFmtId="168" formatCode="#,##0.00_ ;\-#,##0.00\ "/>
    <numFmt numFmtId="169" formatCode="_-* #,##0.00_-;\-* #,##0.00_-;_-* \-??_-;_-@_-"/>
    <numFmt numFmtId="170" formatCode="_-* #,##0.000_-;\-* #,##0.000_-;_-* &quot;-&quot;??_-;_-@_-"/>
  </numFmts>
  <fonts count="46">
    <font>
      <sz val="10"/>
      <color indexed="8"/>
      <name val="Tahoma"/>
      <charset val="22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Tahoma"/>
      <family val="2"/>
    </font>
    <font>
      <b/>
      <sz val="18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u/>
      <sz val="16"/>
      <color indexed="8"/>
      <name val="TH SarabunPSK"/>
      <family val="2"/>
    </font>
    <font>
      <u val="singleAccounting"/>
      <sz val="16"/>
      <color indexed="8"/>
      <name val="TH SarabunPSK"/>
      <family val="2"/>
    </font>
    <font>
      <b/>
      <sz val="20"/>
      <color indexed="8"/>
      <name val="TH SarabunPSK"/>
      <family val="2"/>
    </font>
    <font>
      <b/>
      <u val="doubleAccounting"/>
      <sz val="16"/>
      <color indexed="8"/>
      <name val="TH SarabunPSK"/>
      <family val="2"/>
    </font>
    <font>
      <sz val="10"/>
      <color indexed="8"/>
      <name val="Arial"/>
      <family val="2"/>
    </font>
    <font>
      <sz val="16"/>
      <name val="TH SarabunPSK"/>
      <family val="2"/>
    </font>
    <font>
      <u val="singleAccounting"/>
      <sz val="16"/>
      <name val="TH SarabunPSK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2"/>
      <name val="TH Sarabun New"/>
      <family val="2"/>
    </font>
    <font>
      <sz val="12"/>
      <name val="TH Sarabun New"/>
      <family val="2"/>
    </font>
    <font>
      <i/>
      <sz val="12"/>
      <name val="TH Sarabun New"/>
      <family val="2"/>
    </font>
    <font>
      <sz val="12"/>
      <color indexed="10"/>
      <name val="TH Sarabun New"/>
      <family val="2"/>
    </font>
    <font>
      <b/>
      <sz val="12"/>
      <color indexed="10"/>
      <name val="TH Sarabun New"/>
      <family val="2"/>
    </font>
    <font>
      <b/>
      <u/>
      <sz val="12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u/>
      <sz val="16"/>
      <name val="TH Sarabun New"/>
      <family val="2"/>
    </font>
    <font>
      <sz val="16"/>
      <color indexed="8"/>
      <name val="TH Sarabun New"/>
      <family val="2"/>
    </font>
    <font>
      <b/>
      <sz val="16"/>
      <color indexed="8"/>
      <name val="TH Sarabun New"/>
      <family val="2"/>
    </font>
    <font>
      <sz val="16"/>
      <color rgb="FFFF0000"/>
      <name val="TH Sarabun New"/>
      <family val="2"/>
    </font>
    <font>
      <sz val="16"/>
      <color indexed="12"/>
      <name val="TH Sarabun New"/>
      <family val="2"/>
    </font>
    <font>
      <b/>
      <sz val="20"/>
      <name val="TH Sarabun New"/>
      <family val="2"/>
    </font>
    <font>
      <sz val="20"/>
      <name val="TH Sarabun New"/>
      <family val="2"/>
    </font>
    <font>
      <i/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b/>
      <u/>
      <sz val="14"/>
      <name val="TH Sarabun New"/>
      <family val="2"/>
    </font>
    <font>
      <sz val="13"/>
      <name val="TH Sarabun New"/>
      <family val="2"/>
    </font>
    <font>
      <sz val="14"/>
      <color indexed="8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u val="singleAccounting"/>
      <sz val="16"/>
      <name val="TH SarabunPSK"/>
      <family val="2"/>
    </font>
    <font>
      <b/>
      <u val="singleAccounting"/>
      <sz val="16"/>
      <color indexed="8"/>
      <name val="TH SarabunPSK"/>
      <family val="2"/>
    </font>
    <font>
      <b/>
      <sz val="14"/>
      <color indexed="8"/>
      <name val="TH Sarabun New"/>
      <family val="2"/>
    </font>
    <font>
      <sz val="12"/>
      <color rgb="FFFF0000"/>
      <name val="TH Sarabun New"/>
      <family val="2"/>
    </font>
    <font>
      <b/>
      <sz val="12"/>
      <color rgb="FFFF0000"/>
      <name val="TH Sarabun Ne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8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0" borderId="0"/>
    <xf numFmtId="0" fontId="2" fillId="0" borderId="0" applyFont="0" applyFill="0" applyBorder="0" applyAlignment="0" applyProtection="0"/>
    <xf numFmtId="0" fontId="15" fillId="0" borderId="0" applyFill="0" applyBorder="0" applyAlignment="0" applyProtection="0"/>
    <xf numFmtId="0" fontId="15" fillId="0" borderId="0" applyFill="0" applyBorder="0" applyAlignment="0" applyProtection="0"/>
    <xf numFmtId="169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3" fillId="0" borderId="0"/>
    <xf numFmtId="0" fontId="14" fillId="0" borderId="0"/>
  </cellStyleXfs>
  <cellXfs count="1082">
    <xf numFmtId="0" fontId="0" fillId="0" borderId="0" xfId="0"/>
    <xf numFmtId="164" fontId="5" fillId="0" borderId="0" xfId="1" applyNumberFormat="1" applyFont="1"/>
    <xf numFmtId="0" fontId="5" fillId="0" borderId="0" xfId="0" applyFont="1"/>
    <xf numFmtId="0" fontId="6" fillId="0" borderId="2" xfId="0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1" applyNumberFormat="1" applyFont="1" applyBorder="1"/>
    <xf numFmtId="0" fontId="6" fillId="0" borderId="0" xfId="0" applyFont="1"/>
    <xf numFmtId="164" fontId="5" fillId="0" borderId="0" xfId="1" applyNumberFormat="1" applyFont="1" applyBorder="1"/>
    <xf numFmtId="164" fontId="5" fillId="0" borderId="0" xfId="0" applyNumberFormat="1" applyFont="1"/>
    <xf numFmtId="0" fontId="5" fillId="0" borderId="0" xfId="0" applyFont="1" applyAlignment="1">
      <alignment vertical="center"/>
    </xf>
    <xf numFmtId="164" fontId="5" fillId="0" borderId="0" xfId="1" applyNumberFormat="1" applyFont="1" applyAlignment="1">
      <alignment vertical="center"/>
    </xf>
    <xf numFmtId="164" fontId="6" fillId="0" borderId="0" xfId="1" applyNumberFormat="1" applyFont="1"/>
    <xf numFmtId="4" fontId="0" fillId="0" borderId="0" xfId="0" applyNumberFormat="1"/>
    <xf numFmtId="43" fontId="5" fillId="0" borderId="0" xfId="0" applyNumberFormat="1" applyFont="1"/>
    <xf numFmtId="164" fontId="13" fillId="0" borderId="0" xfId="1" applyNumberFormat="1" applyFont="1" applyFill="1" applyBorder="1"/>
    <xf numFmtId="49" fontId="5" fillId="4" borderId="3" xfId="0" applyNumberFormat="1" applyFont="1" applyFill="1" applyBorder="1" applyAlignment="1">
      <alignment horizontal="center"/>
    </xf>
    <xf numFmtId="43" fontId="5" fillId="4" borderId="4" xfId="1" applyFont="1" applyFill="1" applyBorder="1" applyAlignment="1"/>
    <xf numFmtId="49" fontId="5" fillId="4" borderId="5" xfId="0" applyNumberFormat="1" applyFont="1" applyFill="1" applyBorder="1" applyAlignment="1">
      <alignment horizontal="center"/>
    </xf>
    <xf numFmtId="43" fontId="5" fillId="4" borderId="6" xfId="1" applyFont="1" applyFill="1" applyBorder="1" applyAlignment="1"/>
    <xf numFmtId="49" fontId="5" fillId="4" borderId="7" xfId="0" applyNumberFormat="1" applyFont="1" applyFill="1" applyBorder="1" applyAlignment="1">
      <alignment horizontal="center"/>
    </xf>
    <xf numFmtId="43" fontId="0" fillId="0" borderId="0" xfId="1" applyFont="1"/>
    <xf numFmtId="43" fontId="5" fillId="0" borderId="0" xfId="1" applyFont="1" applyFill="1" applyBorder="1" applyAlignment="1">
      <alignment horizontal="right" wrapText="1"/>
    </xf>
    <xf numFmtId="0" fontId="5" fillId="4" borderId="71" xfId="0" applyFont="1" applyFill="1" applyBorder="1"/>
    <xf numFmtId="43" fontId="12" fillId="0" borderId="8" xfId="1" applyFont="1" applyFill="1" applyBorder="1" applyAlignment="1">
      <alignment horizontal="right"/>
    </xf>
    <xf numFmtId="164" fontId="12" fillId="0" borderId="8" xfId="0" applyNumberFormat="1" applyFont="1" applyBorder="1"/>
    <xf numFmtId="0" fontId="5" fillId="4" borderId="72" xfId="0" applyFont="1" applyFill="1" applyBorder="1"/>
    <xf numFmtId="43" fontId="12" fillId="0" borderId="4" xfId="1" applyFont="1" applyFill="1" applyBorder="1" applyAlignment="1">
      <alignment horizontal="right"/>
    </xf>
    <xf numFmtId="164" fontId="12" fillId="0" borderId="4" xfId="0" applyNumberFormat="1" applyFont="1" applyBorder="1"/>
    <xf numFmtId="43" fontId="5" fillId="0" borderId="4" xfId="1" applyFont="1" applyFill="1" applyBorder="1" applyAlignment="1">
      <alignment horizontal="right"/>
    </xf>
    <xf numFmtId="43" fontId="5" fillId="0" borderId="4" xfId="1" applyFont="1" applyFill="1" applyBorder="1" applyAlignment="1"/>
    <xf numFmtId="0" fontId="5" fillId="4" borderId="73" xfId="0" applyFont="1" applyFill="1" applyBorder="1"/>
    <xf numFmtId="164" fontId="6" fillId="0" borderId="60" xfId="0" applyNumberFormat="1" applyFont="1" applyBorder="1"/>
    <xf numFmtId="164" fontId="6" fillId="0" borderId="13" xfId="0" applyNumberFormat="1" applyFont="1" applyBorder="1"/>
    <xf numFmtId="43" fontId="6" fillId="0" borderId="0" xfId="1" applyFont="1" applyBorder="1"/>
    <xf numFmtId="43" fontId="5" fillId="0" borderId="0" xfId="1" applyFont="1" applyFill="1" applyBorder="1"/>
    <xf numFmtId="43" fontId="5" fillId="0" borderId="0" xfId="1" applyFont="1" applyBorder="1"/>
    <xf numFmtId="0" fontId="7" fillId="0" borderId="0" xfId="0" applyFont="1"/>
    <xf numFmtId="0" fontId="5" fillId="0" borderId="0" xfId="0" applyFont="1" applyAlignment="1">
      <alignment wrapText="1"/>
    </xf>
    <xf numFmtId="43" fontId="5" fillId="0" borderId="0" xfId="1" applyFont="1" applyBorder="1" applyAlignment="1">
      <alignment vertical="center"/>
    </xf>
    <xf numFmtId="43" fontId="8" fillId="0" borderId="0" xfId="1" applyFont="1" applyBorder="1"/>
    <xf numFmtId="43" fontId="10" fillId="0" borderId="0" xfId="1" applyFont="1" applyBorder="1"/>
    <xf numFmtId="164" fontId="5" fillId="0" borderId="0" xfId="1" applyNumberFormat="1" applyFont="1" applyFill="1"/>
    <xf numFmtId="43" fontId="5" fillId="0" borderId="15" xfId="1" applyFont="1" applyFill="1" applyBorder="1" applyAlignment="1">
      <alignment horizontal="right" wrapText="1"/>
    </xf>
    <xf numFmtId="0" fontId="5" fillId="0" borderId="76" xfId="0" applyFont="1" applyBorder="1" applyAlignment="1">
      <alignment wrapText="1"/>
    </xf>
    <xf numFmtId="43" fontId="8" fillId="0" borderId="53" xfId="1" applyFont="1" applyFill="1" applyBorder="1" applyAlignment="1">
      <alignment horizontal="right" wrapText="1"/>
    </xf>
    <xf numFmtId="0" fontId="2" fillId="3" borderId="33" xfId="0" applyFont="1" applyFill="1" applyBorder="1" applyAlignment="1">
      <alignment horizontal="center"/>
    </xf>
    <xf numFmtId="0" fontId="2" fillId="0" borderId="2" xfId="0" applyFont="1" applyBorder="1" applyAlignment="1">
      <alignment wrapText="1"/>
    </xf>
    <xf numFmtId="4" fontId="2" fillId="0" borderId="2" xfId="0" applyNumberFormat="1" applyFont="1" applyBorder="1" applyAlignment="1">
      <alignment horizontal="right" wrapText="1"/>
    </xf>
    <xf numFmtId="0" fontId="0" fillId="0" borderId="2" xfId="0" applyBorder="1"/>
    <xf numFmtId="0" fontId="2" fillId="0" borderId="2" xfId="0" applyFont="1" applyBorder="1" applyAlignment="1">
      <alignment horizontal="center" vertical="center" wrapText="1"/>
    </xf>
    <xf numFmtId="4" fontId="0" fillId="0" borderId="2" xfId="0" applyNumberFormat="1" applyBorder="1"/>
    <xf numFmtId="0" fontId="2" fillId="3" borderId="56" xfId="0" applyFont="1" applyFill="1" applyBorder="1" applyAlignment="1">
      <alignment horizontal="center"/>
    </xf>
    <xf numFmtId="43" fontId="2" fillId="3" borderId="56" xfId="1" applyFont="1" applyFill="1" applyBorder="1" applyAlignment="1">
      <alignment horizontal="center"/>
    </xf>
    <xf numFmtId="43" fontId="0" fillId="5" borderId="0" xfId="0" applyNumberFormat="1" applyFill="1"/>
    <xf numFmtId="43" fontId="0" fillId="6" borderId="0" xfId="0" applyNumberFormat="1" applyFill="1"/>
    <xf numFmtId="43" fontId="0" fillId="0" borderId="2" xfId="1" applyFont="1" applyBorder="1"/>
    <xf numFmtId="0" fontId="2" fillId="0" borderId="56" xfId="0" applyFont="1" applyBorder="1" applyAlignment="1">
      <alignment wrapText="1"/>
    </xf>
    <xf numFmtId="43" fontId="2" fillId="0" borderId="56" xfId="1" applyFont="1" applyFill="1" applyBorder="1" applyAlignment="1">
      <alignment horizontal="right" wrapText="1"/>
    </xf>
    <xf numFmtId="0" fontId="0" fillId="0" borderId="77" xfId="0" applyBorder="1"/>
    <xf numFmtId="43" fontId="0" fillId="0" borderId="77" xfId="1" applyFont="1" applyBorder="1"/>
    <xf numFmtId="164" fontId="12" fillId="0" borderId="52" xfId="0" applyNumberFormat="1" applyFont="1" applyBorder="1"/>
    <xf numFmtId="0" fontId="2" fillId="0" borderId="2" xfId="0" applyFont="1" applyBorder="1" applyAlignment="1">
      <alignment horizontal="left" wrapText="1"/>
    </xf>
    <xf numFmtId="43" fontId="2" fillId="0" borderId="33" xfId="1" applyFont="1" applyFill="1" applyBorder="1" applyAlignment="1">
      <alignment horizontal="right" wrapText="1"/>
    </xf>
    <xf numFmtId="0" fontId="2" fillId="0" borderId="33" xfId="0" applyFont="1" applyBorder="1" applyAlignment="1">
      <alignment horizontal="left" wrapText="1"/>
    </xf>
    <xf numFmtId="0" fontId="3" fillId="0" borderId="0" xfId="3"/>
    <xf numFmtId="0" fontId="2" fillId="5" borderId="1" xfId="3" applyFont="1" applyFill="1" applyBorder="1" applyAlignment="1">
      <alignment wrapText="1"/>
    </xf>
    <xf numFmtId="43" fontId="2" fillId="5" borderId="1" xfId="1" applyFont="1" applyFill="1" applyBorder="1" applyAlignment="1">
      <alignment horizontal="right" wrapText="1"/>
    </xf>
    <xf numFmtId="0" fontId="2" fillId="7" borderId="1" xfId="3" applyFont="1" applyFill="1" applyBorder="1" applyAlignment="1">
      <alignment wrapText="1"/>
    </xf>
    <xf numFmtId="43" fontId="2" fillId="7" borderId="1" xfId="1" applyFont="1" applyFill="1" applyBorder="1" applyAlignment="1">
      <alignment horizontal="right" wrapText="1"/>
    </xf>
    <xf numFmtId="0" fontId="2" fillId="3" borderId="56" xfId="3" applyFont="1" applyFill="1" applyBorder="1" applyAlignment="1">
      <alignment horizontal="center"/>
    </xf>
    <xf numFmtId="0" fontId="2" fillId="0" borderId="1" xfId="3" applyFont="1" applyBorder="1" applyAlignment="1">
      <alignment wrapText="1"/>
    </xf>
    <xf numFmtId="43" fontId="2" fillId="0" borderId="1" xfId="1" applyFont="1" applyBorder="1" applyAlignment="1">
      <alignment horizontal="right" wrapText="1"/>
    </xf>
    <xf numFmtId="43" fontId="3" fillId="5" borderId="0" xfId="1" applyFont="1" applyFill="1"/>
    <xf numFmtId="0" fontId="2" fillId="8" borderId="1" xfId="3" applyFont="1" applyFill="1" applyBorder="1" applyAlignment="1">
      <alignment wrapText="1"/>
    </xf>
    <xf numFmtId="43" fontId="2" fillId="8" borderId="1" xfId="1" applyFont="1" applyFill="1" applyBorder="1" applyAlignment="1">
      <alignment horizontal="right" wrapText="1"/>
    </xf>
    <xf numFmtId="43" fontId="3" fillId="8" borderId="0" xfId="1" applyFont="1" applyFill="1"/>
    <xf numFmtId="43" fontId="3" fillId="7" borderId="0" xfId="1" applyFont="1" applyFill="1"/>
    <xf numFmtId="164" fontId="3" fillId="0" borderId="0" xfId="3" applyNumberFormat="1"/>
    <xf numFmtId="0" fontId="18" fillId="0" borderId="0" xfId="12" applyFont="1"/>
    <xf numFmtId="0" fontId="19" fillId="0" borderId="0" xfId="12" applyFont="1"/>
    <xf numFmtId="0" fontId="18" fillId="0" borderId="0" xfId="12" applyFont="1" applyAlignment="1">
      <alignment horizontal="center"/>
    </xf>
    <xf numFmtId="0" fontId="19" fillId="0" borderId="0" xfId="12" applyFont="1" applyAlignment="1">
      <alignment horizontal="left"/>
    </xf>
    <xf numFmtId="3" fontId="19" fillId="0" borderId="0" xfId="12" applyNumberFormat="1" applyFont="1" applyAlignment="1">
      <alignment horizontal="center"/>
    </xf>
    <xf numFmtId="3" fontId="18" fillId="0" borderId="0" xfId="12" applyNumberFormat="1" applyFont="1" applyAlignment="1">
      <alignment horizontal="center"/>
    </xf>
    <xf numFmtId="0" fontId="18" fillId="0" borderId="2" xfId="12" applyFont="1" applyBorder="1" applyAlignment="1">
      <alignment horizontal="center"/>
    </xf>
    <xf numFmtId="3" fontId="19" fillId="0" borderId="2" xfId="12" applyNumberFormat="1" applyFont="1" applyBorder="1" applyAlignment="1">
      <alignment horizontal="center"/>
    </xf>
    <xf numFmtId="3" fontId="18" fillId="0" borderId="2" xfId="12" applyNumberFormat="1" applyFont="1" applyBorder="1" applyAlignment="1">
      <alignment horizontal="center"/>
    </xf>
    <xf numFmtId="0" fontId="19" fillId="0" borderId="8" xfId="10" applyFont="1" applyBorder="1"/>
    <xf numFmtId="0" fontId="19" fillId="0" borderId="8" xfId="0" applyFont="1" applyBorder="1" applyAlignment="1">
      <alignment horizontal="left"/>
    </xf>
    <xf numFmtId="3" fontId="19" fillId="0" borderId="8" xfId="8" applyNumberFormat="1" applyFont="1" applyBorder="1" applyAlignment="1">
      <alignment horizontal="center"/>
    </xf>
    <xf numFmtId="0" fontId="19" fillId="0" borderId="8" xfId="12" applyFont="1" applyBorder="1" applyAlignment="1">
      <alignment horizontal="center"/>
    </xf>
    <xf numFmtId="0" fontId="19" fillId="0" borderId="8" xfId="0" applyFont="1" applyBorder="1"/>
    <xf numFmtId="165" fontId="19" fillId="0" borderId="8" xfId="4" applyNumberFormat="1" applyFont="1" applyBorder="1" applyAlignment="1">
      <alignment horizontal="center"/>
    </xf>
    <xf numFmtId="0" fontId="20" fillId="0" borderId="8" xfId="0" applyFont="1" applyBorder="1"/>
    <xf numFmtId="0" fontId="19" fillId="0" borderId="4" xfId="10" applyFont="1" applyBorder="1"/>
    <xf numFmtId="0" fontId="19" fillId="0" borderId="4" xfId="0" applyFont="1" applyBorder="1" applyAlignment="1">
      <alignment horizontal="left"/>
    </xf>
    <xf numFmtId="3" fontId="19" fillId="0" borderId="4" xfId="8" applyNumberFormat="1" applyFont="1" applyBorder="1" applyAlignment="1">
      <alignment horizontal="center"/>
    </xf>
    <xf numFmtId="0" fontId="19" fillId="0" borderId="4" xfId="12" applyFont="1" applyBorder="1" applyAlignment="1">
      <alignment horizontal="center"/>
    </xf>
    <xf numFmtId="0" fontId="19" fillId="0" borderId="4" xfId="0" applyFont="1" applyBorder="1"/>
    <xf numFmtId="0" fontId="19" fillId="0" borderId="4" xfId="8" applyNumberFormat="1" applyFont="1" applyFill="1" applyBorder="1" applyAlignment="1">
      <alignment horizontal="center"/>
    </xf>
    <xf numFmtId="0" fontId="19" fillId="0" borderId="4" xfId="8" applyNumberFormat="1" applyFont="1" applyBorder="1" applyAlignment="1">
      <alignment horizontal="center"/>
    </xf>
    <xf numFmtId="0" fontId="19" fillId="0" borderId="4" xfId="12" applyFont="1" applyBorder="1"/>
    <xf numFmtId="3" fontId="19" fillId="0" borderId="4" xfId="8" applyNumberFormat="1" applyFont="1" applyFill="1" applyBorder="1" applyAlignment="1">
      <alignment horizontal="center"/>
    </xf>
    <xf numFmtId="3" fontId="19" fillId="0" borderId="4" xfId="12" applyNumberFormat="1" applyFont="1" applyBorder="1" applyAlignment="1">
      <alignment horizontal="center"/>
    </xf>
    <xf numFmtId="3" fontId="18" fillId="0" borderId="4" xfId="12" applyNumberFormat="1" applyFont="1" applyBorder="1" applyAlignment="1">
      <alignment horizontal="center"/>
    </xf>
    <xf numFmtId="0" fontId="18" fillId="0" borderId="4" xfId="12" applyFont="1" applyBorder="1" applyAlignment="1">
      <alignment horizontal="center"/>
    </xf>
    <xf numFmtId="3" fontId="19" fillId="0" borderId="4" xfId="12" applyNumberFormat="1" applyFont="1" applyBorder="1"/>
    <xf numFmtId="43" fontId="19" fillId="0" borderId="4" xfId="1" applyFont="1" applyFill="1" applyBorder="1" applyAlignment="1">
      <alignment horizontal="center"/>
    </xf>
    <xf numFmtId="0" fontId="19" fillId="0" borderId="4" xfId="0" applyFont="1" applyBorder="1" applyAlignment="1">
      <alignment shrinkToFit="1"/>
    </xf>
    <xf numFmtId="43" fontId="19" fillId="0" borderId="4" xfId="4" applyNumberFormat="1" applyFont="1" applyFill="1" applyBorder="1" applyAlignment="1">
      <alignment horizontal="left" shrinkToFit="1"/>
    </xf>
    <xf numFmtId="4" fontId="19" fillId="0" borderId="4" xfId="12" applyNumberFormat="1" applyFont="1" applyBorder="1" applyAlignment="1">
      <alignment horizontal="center"/>
    </xf>
    <xf numFmtId="0" fontId="19" fillId="0" borderId="4" xfId="10" applyFont="1" applyBorder="1" applyAlignment="1">
      <alignment wrapText="1"/>
    </xf>
    <xf numFmtId="0" fontId="19" fillId="0" borderId="9" xfId="10" applyFont="1" applyBorder="1"/>
    <xf numFmtId="0" fontId="19" fillId="0" borderId="9" xfId="0" applyFont="1" applyBorder="1" applyAlignment="1">
      <alignment horizontal="left"/>
    </xf>
    <xf numFmtId="3" fontId="19" fillId="0" borderId="9" xfId="12" applyNumberFormat="1" applyFont="1" applyBorder="1" applyAlignment="1">
      <alignment horizontal="center"/>
    </xf>
    <xf numFmtId="0" fontId="18" fillId="0" borderId="9" xfId="12" applyFont="1" applyBorder="1" applyAlignment="1">
      <alignment horizontal="center"/>
    </xf>
    <xf numFmtId="0" fontId="19" fillId="0" borderId="9" xfId="12" applyFont="1" applyBorder="1"/>
    <xf numFmtId="3" fontId="18" fillId="0" borderId="9" xfId="12" applyNumberFormat="1" applyFont="1" applyBorder="1" applyAlignment="1">
      <alignment horizontal="center"/>
    </xf>
    <xf numFmtId="0" fontId="19" fillId="0" borderId="6" xfId="10" applyFont="1" applyBorder="1"/>
    <xf numFmtId="0" fontId="19" fillId="0" borderId="6" xfId="0" applyFont="1" applyBorder="1" applyAlignment="1">
      <alignment horizontal="left"/>
    </xf>
    <xf numFmtId="3" fontId="19" fillId="0" borderId="6" xfId="12" applyNumberFormat="1" applyFont="1" applyBorder="1" applyAlignment="1">
      <alignment horizontal="center"/>
    </xf>
    <xf numFmtId="0" fontId="18" fillId="0" borderId="6" xfId="12" applyFont="1" applyBorder="1" applyAlignment="1">
      <alignment horizontal="center"/>
    </xf>
    <xf numFmtId="3" fontId="18" fillId="0" borderId="6" xfId="12" applyNumberFormat="1" applyFont="1" applyBorder="1" applyAlignment="1">
      <alignment horizontal="center"/>
    </xf>
    <xf numFmtId="0" fontId="19" fillId="0" borderId="53" xfId="10" applyFont="1" applyBorder="1"/>
    <xf numFmtId="0" fontId="19" fillId="0" borderId="53" xfId="0" applyFont="1" applyBorder="1" applyAlignment="1">
      <alignment horizontal="left"/>
    </xf>
    <xf numFmtId="3" fontId="19" fillId="0" borderId="53" xfId="12" applyNumberFormat="1" applyFont="1" applyBorder="1" applyAlignment="1">
      <alignment horizontal="center"/>
    </xf>
    <xf numFmtId="0" fontId="18" fillId="0" borderId="53" xfId="12" applyFont="1" applyBorder="1" applyAlignment="1">
      <alignment horizontal="center"/>
    </xf>
    <xf numFmtId="3" fontId="18" fillId="0" borderId="53" xfId="12" applyNumberFormat="1" applyFont="1" applyBorder="1" applyAlignment="1">
      <alignment horizontal="center"/>
    </xf>
    <xf numFmtId="0" fontId="19" fillId="0" borderId="0" xfId="10" applyFont="1"/>
    <xf numFmtId="0" fontId="19" fillId="0" borderId="0" xfId="0" applyFont="1" applyAlignment="1">
      <alignment horizontal="left"/>
    </xf>
    <xf numFmtId="0" fontId="18" fillId="0" borderId="2" xfId="12" applyFont="1" applyBorder="1"/>
    <xf numFmtId="0" fontId="19" fillId="0" borderId="8" xfId="12" applyFont="1" applyBorder="1" applyAlignment="1">
      <alignment horizontal="left"/>
    </xf>
    <xf numFmtId="3" fontId="19" fillId="0" borderId="8" xfId="12" applyNumberFormat="1" applyFont="1" applyBorder="1" applyAlignment="1">
      <alignment horizontal="center"/>
    </xf>
    <xf numFmtId="0" fontId="18" fillId="0" borderId="8" xfId="12" applyFont="1" applyBorder="1" applyAlignment="1">
      <alignment horizontal="center"/>
    </xf>
    <xf numFmtId="3" fontId="18" fillId="0" borderId="8" xfId="12" applyNumberFormat="1" applyFont="1" applyBorder="1" applyAlignment="1">
      <alignment horizontal="center"/>
    </xf>
    <xf numFmtId="0" fontId="19" fillId="0" borderId="4" xfId="12" applyFont="1" applyBorder="1" applyAlignment="1">
      <alignment horizontal="left"/>
    </xf>
    <xf numFmtId="3" fontId="19" fillId="4" borderId="4" xfId="12" applyNumberFormat="1" applyFont="1" applyFill="1" applyBorder="1" applyAlignment="1">
      <alignment horizontal="center"/>
    </xf>
    <xf numFmtId="0" fontId="19" fillId="0" borderId="6" xfId="12" applyFont="1" applyBorder="1" applyAlignment="1">
      <alignment horizontal="left"/>
    </xf>
    <xf numFmtId="3" fontId="19" fillId="0" borderId="0" xfId="12" applyNumberFormat="1" applyFont="1"/>
    <xf numFmtId="0" fontId="21" fillId="0" borderId="10" xfId="10" applyFont="1" applyBorder="1" applyAlignment="1">
      <alignment horizontal="center" shrinkToFit="1"/>
    </xf>
    <xf numFmtId="43" fontId="19" fillId="0" borderId="10" xfId="4" applyNumberFormat="1" applyFont="1" applyFill="1" applyBorder="1" applyAlignment="1">
      <alignment horizontal="center" shrinkToFit="1"/>
    </xf>
    <xf numFmtId="43" fontId="19" fillId="0" borderId="32" xfId="4" applyNumberFormat="1" applyFont="1" applyFill="1" applyBorder="1" applyAlignment="1" applyProtection="1">
      <alignment horizontal="center" shrinkToFit="1"/>
    </xf>
    <xf numFmtId="43" fontId="19" fillId="0" borderId="33" xfId="4" applyNumberFormat="1" applyFont="1" applyFill="1" applyBorder="1" applyAlignment="1" applyProtection="1">
      <alignment horizontal="center" shrinkToFit="1"/>
    </xf>
    <xf numFmtId="43" fontId="19" fillId="0" borderId="33" xfId="7" applyNumberFormat="1" applyFont="1" applyFill="1" applyBorder="1" applyAlignment="1" applyProtection="1">
      <alignment horizontal="center"/>
    </xf>
    <xf numFmtId="43" fontId="18" fillId="0" borderId="33" xfId="4" applyNumberFormat="1" applyFont="1" applyFill="1" applyBorder="1" applyAlignment="1" applyProtection="1">
      <alignment horizontal="center"/>
    </xf>
    <xf numFmtId="0" fontId="22" fillId="0" borderId="34" xfId="10" applyFont="1" applyBorder="1" applyAlignment="1">
      <alignment horizontal="center"/>
    </xf>
    <xf numFmtId="43" fontId="22" fillId="0" borderId="4" xfId="4" applyNumberFormat="1" applyFont="1" applyFill="1" applyBorder="1" applyAlignment="1">
      <alignment horizontal="right" wrapText="1"/>
    </xf>
    <xf numFmtId="43" fontId="22" fillId="0" borderId="35" xfId="4" applyNumberFormat="1" applyFont="1" applyFill="1" applyBorder="1" applyAlignment="1" applyProtection="1"/>
    <xf numFmtId="43" fontId="22" fillId="0" borderId="36" xfId="4" applyNumberFormat="1" applyFont="1" applyFill="1" applyBorder="1" applyAlignment="1" applyProtection="1"/>
    <xf numFmtId="43" fontId="22" fillId="0" borderId="36" xfId="7" applyNumberFormat="1" applyFont="1" applyFill="1" applyBorder="1" applyAlignment="1" applyProtection="1"/>
    <xf numFmtId="0" fontId="22" fillId="0" borderId="0" xfId="10" applyFont="1"/>
    <xf numFmtId="0" fontId="23" fillId="0" borderId="24" xfId="10" applyFont="1" applyBorder="1" applyAlignment="1">
      <alignment horizontal="center"/>
    </xf>
    <xf numFmtId="0" fontId="21" fillId="0" borderId="37" xfId="10" applyFont="1" applyBorder="1" applyAlignment="1">
      <alignment horizontal="center"/>
    </xf>
    <xf numFmtId="43" fontId="19" fillId="0" borderId="8" xfId="4" applyNumberFormat="1" applyFont="1" applyFill="1" applyBorder="1" applyAlignment="1"/>
    <xf numFmtId="43" fontId="19" fillId="0" borderId="38" xfId="4" applyNumberFormat="1" applyFont="1" applyFill="1" applyBorder="1" applyAlignment="1" applyProtection="1"/>
    <xf numFmtId="43" fontId="19" fillId="0" borderId="39" xfId="4" applyNumberFormat="1" applyFont="1" applyFill="1" applyBorder="1" applyAlignment="1" applyProtection="1"/>
    <xf numFmtId="43" fontId="19" fillId="0" borderId="39" xfId="7" applyNumberFormat="1" applyFont="1" applyFill="1" applyBorder="1" applyAlignment="1" applyProtection="1"/>
    <xf numFmtId="43" fontId="18" fillId="0" borderId="39" xfId="4" applyNumberFormat="1" applyFont="1" applyFill="1" applyBorder="1" applyAlignment="1" applyProtection="1"/>
    <xf numFmtId="0" fontId="19" fillId="0" borderId="17" xfId="10" applyFont="1" applyBorder="1"/>
    <xf numFmtId="1" fontId="21" fillId="0" borderId="37" xfId="10" applyNumberFormat="1" applyFont="1" applyBorder="1" applyAlignment="1">
      <alignment horizontal="center"/>
    </xf>
    <xf numFmtId="43" fontId="19" fillId="0" borderId="4" xfId="4" applyNumberFormat="1" applyFont="1" applyFill="1" applyBorder="1" applyAlignment="1"/>
    <xf numFmtId="43" fontId="19" fillId="0" borderId="40" xfId="4" applyNumberFormat="1" applyFont="1" applyFill="1" applyBorder="1" applyAlignment="1" applyProtection="1"/>
    <xf numFmtId="43" fontId="19" fillId="0" borderId="41" xfId="4" applyNumberFormat="1" applyFont="1" applyFill="1" applyBorder="1" applyAlignment="1" applyProtection="1"/>
    <xf numFmtId="43" fontId="19" fillId="0" borderId="41" xfId="7" applyNumberFormat="1" applyFont="1" applyFill="1" applyBorder="1" applyAlignment="1" applyProtection="1"/>
    <xf numFmtId="0" fontId="19" fillId="0" borderId="17" xfId="10" applyFont="1" applyBorder="1" applyAlignment="1">
      <alignment wrapText="1"/>
    </xf>
    <xf numFmtId="1" fontId="19" fillId="0" borderId="0" xfId="10" applyNumberFormat="1" applyFont="1"/>
    <xf numFmtId="0" fontId="23" fillId="0" borderId="17" xfId="10" applyFont="1" applyBorder="1" applyAlignment="1">
      <alignment horizontal="center"/>
    </xf>
    <xf numFmtId="0" fontId="19" fillId="0" borderId="18" xfId="10" applyFont="1" applyBorder="1"/>
    <xf numFmtId="43" fontId="19" fillId="0" borderId="9" xfId="4" applyNumberFormat="1" applyFont="1" applyFill="1" applyBorder="1" applyAlignment="1"/>
    <xf numFmtId="43" fontId="19" fillId="0" borderId="6" xfId="4" applyNumberFormat="1" applyFont="1" applyFill="1" applyBorder="1" applyAlignment="1"/>
    <xf numFmtId="0" fontId="18" fillId="0" borderId="42" xfId="10" applyFont="1" applyBorder="1" applyAlignment="1">
      <alignment horizontal="center"/>
    </xf>
    <xf numFmtId="1" fontId="22" fillId="0" borderId="2" xfId="10" applyNumberFormat="1" applyFont="1" applyBorder="1" applyAlignment="1">
      <alignment horizontal="center"/>
    </xf>
    <xf numFmtId="43" fontId="18" fillId="0" borderId="2" xfId="4" applyNumberFormat="1" applyFont="1" applyFill="1" applyBorder="1" applyAlignment="1"/>
    <xf numFmtId="43" fontId="18" fillId="0" borderId="43" xfId="4" applyNumberFormat="1" applyFont="1" applyBorder="1" applyAlignment="1">
      <alignment horizontal="center"/>
    </xf>
    <xf numFmtId="43" fontId="18" fillId="0" borderId="2" xfId="4" applyNumberFormat="1" applyFont="1" applyBorder="1" applyAlignment="1">
      <alignment horizontal="center"/>
    </xf>
    <xf numFmtId="43" fontId="18" fillId="0" borderId="2" xfId="7" applyNumberFormat="1" applyFont="1" applyBorder="1" applyAlignment="1">
      <alignment horizontal="center"/>
    </xf>
    <xf numFmtId="0" fontId="18" fillId="0" borderId="0" xfId="10" applyFont="1"/>
    <xf numFmtId="0" fontId="21" fillId="0" borderId="0" xfId="10" applyFont="1"/>
    <xf numFmtId="43" fontId="19" fillId="0" borderId="0" xfId="4" applyNumberFormat="1" applyFont="1" applyFill="1" applyAlignment="1"/>
    <xf numFmtId="43" fontId="19" fillId="0" borderId="0" xfId="4" applyNumberFormat="1" applyFont="1"/>
    <xf numFmtId="43" fontId="19" fillId="0" borderId="0" xfId="7" applyNumberFormat="1" applyFont="1"/>
    <xf numFmtId="1" fontId="21" fillId="0" borderId="0" xfId="10" applyNumberFormat="1" applyFont="1"/>
    <xf numFmtId="43" fontId="19" fillId="0" borderId="0" xfId="4" applyNumberFormat="1" applyFont="1" applyFill="1"/>
    <xf numFmtId="169" fontId="19" fillId="0" borderId="0" xfId="5" applyNumberFormat="1" applyFont="1" applyFill="1" applyBorder="1" applyAlignment="1" applyProtection="1"/>
    <xf numFmtId="0" fontId="21" fillId="0" borderId="0" xfId="10" applyFont="1" applyAlignment="1">
      <alignment horizontal="center"/>
    </xf>
    <xf numFmtId="43" fontId="19" fillId="0" borderId="0" xfId="4" applyNumberFormat="1" applyFont="1" applyFill="1" applyBorder="1" applyAlignment="1" applyProtection="1"/>
    <xf numFmtId="43" fontId="19" fillId="0" borderId="0" xfId="7" applyNumberFormat="1" applyFont="1" applyFill="1" applyBorder="1" applyAlignment="1" applyProtection="1"/>
    <xf numFmtId="43" fontId="18" fillId="0" borderId="0" xfId="4" applyNumberFormat="1" applyFont="1" applyFill="1" applyBorder="1" applyAlignment="1" applyProtection="1"/>
    <xf numFmtId="43" fontId="19" fillId="0" borderId="0" xfId="1" applyFont="1" applyFill="1"/>
    <xf numFmtId="169" fontId="23" fillId="0" borderId="0" xfId="6" applyNumberFormat="1" applyFont="1" applyFill="1" applyBorder="1" applyAlignment="1" applyProtection="1"/>
    <xf numFmtId="169" fontId="19" fillId="0" borderId="0" xfId="6" applyNumberFormat="1" applyFont="1" applyFill="1" applyBorder="1" applyAlignment="1" applyProtection="1">
      <alignment horizontal="right"/>
    </xf>
    <xf numFmtId="169" fontId="19" fillId="0" borderId="0" xfId="6" applyNumberFormat="1" applyFont="1" applyFill="1" applyBorder="1" applyAlignment="1" applyProtection="1"/>
    <xf numFmtId="169" fontId="18" fillId="0" borderId="0" xfId="6" applyNumberFormat="1" applyFont="1" applyFill="1" applyBorder="1" applyAlignment="1" applyProtection="1"/>
    <xf numFmtId="0" fontId="21" fillId="0" borderId="44" xfId="10" applyFont="1" applyBorder="1" applyAlignment="1">
      <alignment horizontal="center" shrinkToFit="1"/>
    </xf>
    <xf numFmtId="4" fontId="19" fillId="0" borderId="10" xfId="4" applyNumberFormat="1" applyFont="1" applyFill="1" applyBorder="1" applyAlignment="1">
      <alignment horizontal="center" shrinkToFit="1"/>
    </xf>
    <xf numFmtId="4" fontId="19" fillId="0" borderId="45" xfId="4" applyNumberFormat="1" applyFont="1" applyFill="1" applyBorder="1" applyAlignment="1">
      <alignment horizontal="center" shrinkToFit="1"/>
    </xf>
    <xf numFmtId="169" fontId="19" fillId="0" borderId="33" xfId="6" applyNumberFormat="1" applyFont="1" applyFill="1" applyBorder="1" applyAlignment="1" applyProtection="1">
      <alignment horizontal="right" shrinkToFit="1"/>
    </xf>
    <xf numFmtId="169" fontId="19" fillId="0" borderId="33" xfId="6" applyNumberFormat="1" applyFont="1" applyFill="1" applyBorder="1" applyAlignment="1" applyProtection="1">
      <alignment horizontal="center" shrinkToFit="1"/>
    </xf>
    <xf numFmtId="169" fontId="19" fillId="0" borderId="33" xfId="6" applyNumberFormat="1" applyFont="1" applyFill="1" applyBorder="1" applyAlignment="1" applyProtection="1">
      <alignment horizontal="center"/>
    </xf>
    <xf numFmtId="169" fontId="18" fillId="0" borderId="66" xfId="6" applyNumberFormat="1" applyFont="1" applyFill="1" applyBorder="1" applyAlignment="1" applyProtection="1">
      <alignment horizontal="center"/>
    </xf>
    <xf numFmtId="0" fontId="19" fillId="0" borderId="10" xfId="10" applyFont="1" applyBorder="1" applyAlignment="1">
      <alignment horizontal="center" vertical="center"/>
    </xf>
    <xf numFmtId="0" fontId="22" fillId="0" borderId="46" xfId="10" applyFont="1" applyBorder="1" applyAlignment="1">
      <alignment horizontal="center"/>
    </xf>
    <xf numFmtId="43" fontId="22" fillId="0" borderId="12" xfId="4" applyNumberFormat="1" applyFont="1" applyFill="1" applyBorder="1" applyAlignment="1">
      <alignment horizontal="center"/>
    </xf>
    <xf numFmtId="43" fontId="22" fillId="0" borderId="47" xfId="4" applyNumberFormat="1" applyFont="1" applyFill="1" applyBorder="1" applyAlignment="1">
      <alignment horizontal="center"/>
    </xf>
    <xf numFmtId="169" fontId="22" fillId="0" borderId="36" xfId="6" applyNumberFormat="1" applyFont="1" applyFill="1" applyBorder="1" applyAlignment="1" applyProtection="1">
      <alignment horizontal="right"/>
    </xf>
    <xf numFmtId="169" fontId="22" fillId="0" borderId="36" xfId="6" applyNumberFormat="1" applyFont="1" applyFill="1" applyBorder="1" applyAlignment="1" applyProtection="1"/>
    <xf numFmtId="169" fontId="22" fillId="0" borderId="67" xfId="6" applyNumberFormat="1" applyFont="1" applyFill="1" applyBorder="1" applyAlignment="1" applyProtection="1"/>
    <xf numFmtId="43" fontId="22" fillId="0" borderId="12" xfId="1" applyFont="1" applyFill="1" applyBorder="1" applyAlignment="1">
      <alignment horizontal="center"/>
    </xf>
    <xf numFmtId="43" fontId="22" fillId="0" borderId="12" xfId="1" applyFont="1" applyFill="1" applyBorder="1"/>
    <xf numFmtId="0" fontId="21" fillId="0" borderId="8" xfId="10" applyFont="1" applyBorder="1" applyAlignment="1">
      <alignment horizontal="center"/>
    </xf>
    <xf numFmtId="169" fontId="19" fillId="0" borderId="38" xfId="6" applyNumberFormat="1" applyFont="1" applyFill="1" applyBorder="1" applyAlignment="1" applyProtection="1">
      <alignment horizontal="right"/>
    </xf>
    <xf numFmtId="169" fontId="19" fillId="0" borderId="39" xfId="6" applyNumberFormat="1" applyFont="1" applyFill="1" applyBorder="1" applyAlignment="1" applyProtection="1"/>
    <xf numFmtId="169" fontId="18" fillId="0" borderId="68" xfId="6" applyNumberFormat="1" applyFont="1" applyFill="1" applyBorder="1" applyAlignment="1" applyProtection="1"/>
    <xf numFmtId="0" fontId="19" fillId="0" borderId="52" xfId="10" applyFont="1" applyBorder="1"/>
    <xf numFmtId="43" fontId="19" fillId="0" borderId="8" xfId="1" applyFont="1" applyFill="1" applyBorder="1"/>
    <xf numFmtId="43" fontId="19" fillId="0" borderId="4" xfId="1" applyFont="1" applyFill="1" applyBorder="1" applyAlignment="1"/>
    <xf numFmtId="4" fontId="19" fillId="0" borderId="4" xfId="4" applyNumberFormat="1" applyFont="1" applyFill="1" applyBorder="1" applyAlignment="1"/>
    <xf numFmtId="4" fontId="19" fillId="0" borderId="40" xfId="6" applyNumberFormat="1" applyFont="1" applyFill="1" applyBorder="1" applyAlignment="1" applyProtection="1">
      <alignment horizontal="right"/>
    </xf>
    <xf numFmtId="4" fontId="19" fillId="0" borderId="41" xfId="6" applyNumberFormat="1" applyFont="1" applyFill="1" applyBorder="1" applyAlignment="1" applyProtection="1"/>
    <xf numFmtId="4" fontId="19" fillId="0" borderId="41" xfId="10" applyNumberFormat="1" applyFont="1" applyBorder="1"/>
    <xf numFmtId="43" fontId="19" fillId="0" borderId="69" xfId="10" applyNumberFormat="1" applyFont="1" applyBorder="1"/>
    <xf numFmtId="2" fontId="19" fillId="0" borderId="4" xfId="10" applyNumberFormat="1" applyFont="1" applyBorder="1"/>
    <xf numFmtId="43" fontId="19" fillId="0" borderId="4" xfId="1" applyFont="1" applyFill="1" applyBorder="1"/>
    <xf numFmtId="4" fontId="19" fillId="0" borderId="9" xfId="4" applyNumberFormat="1" applyFont="1" applyFill="1" applyBorder="1" applyAlignment="1"/>
    <xf numFmtId="4" fontId="19" fillId="0" borderId="48" xfId="6" applyNumberFormat="1" applyFont="1" applyFill="1" applyBorder="1" applyAlignment="1" applyProtection="1">
      <alignment horizontal="right"/>
    </xf>
    <xf numFmtId="2" fontId="19" fillId="0" borderId="9" xfId="10" applyNumberFormat="1" applyFont="1" applyBorder="1"/>
    <xf numFmtId="4" fontId="19" fillId="0" borderId="6" xfId="4" applyNumberFormat="1" applyFont="1" applyFill="1" applyBorder="1" applyAlignment="1"/>
    <xf numFmtId="43" fontId="19" fillId="0" borderId="6" xfId="1" applyFont="1" applyFill="1" applyBorder="1" applyAlignment="1"/>
    <xf numFmtId="43" fontId="19" fillId="0" borderId="6" xfId="1" applyFont="1" applyFill="1" applyBorder="1"/>
    <xf numFmtId="1" fontId="21" fillId="0" borderId="2" xfId="10" applyNumberFormat="1" applyFont="1" applyBorder="1" applyAlignment="1">
      <alignment horizontal="center"/>
    </xf>
    <xf numFmtId="4" fontId="18" fillId="0" borderId="2" xfId="10" applyNumberFormat="1" applyFont="1" applyBorder="1" applyAlignment="1">
      <alignment horizontal="center"/>
    </xf>
    <xf numFmtId="43" fontId="18" fillId="0" borderId="2" xfId="1" applyFont="1" applyFill="1" applyBorder="1"/>
    <xf numFmtId="43" fontId="21" fillId="0" borderId="0" xfId="1" applyFont="1" applyFill="1"/>
    <xf numFmtId="164" fontId="21" fillId="0" borderId="0" xfId="10" applyNumberFormat="1" applyFont="1"/>
    <xf numFmtId="0" fontId="19" fillId="0" borderId="0" xfId="10" applyFont="1" applyAlignment="1">
      <alignment horizontal="right"/>
    </xf>
    <xf numFmtId="4" fontId="19" fillId="0" borderId="0" xfId="10" applyNumberFormat="1" applyFont="1"/>
    <xf numFmtId="4" fontId="21" fillId="0" borderId="0" xfId="10" applyNumberFormat="1" applyFont="1"/>
    <xf numFmtId="0" fontId="24" fillId="0" borderId="0" xfId="12" applyFont="1" applyAlignment="1">
      <alignment horizontal="center"/>
    </xf>
    <xf numFmtId="0" fontId="25" fillId="0" borderId="0" xfId="12" applyFont="1"/>
    <xf numFmtId="164" fontId="25" fillId="0" borderId="0" xfId="8" applyFont="1"/>
    <xf numFmtId="0" fontId="25" fillId="0" borderId="15" xfId="12" applyFont="1" applyBorder="1" applyAlignment="1">
      <alignment horizontal="left"/>
    </xf>
    <xf numFmtId="0" fontId="25" fillId="0" borderId="0" xfId="12" applyFont="1" applyAlignment="1">
      <alignment horizontal="left"/>
    </xf>
    <xf numFmtId="164" fontId="25" fillId="0" borderId="0" xfId="12" applyNumberFormat="1" applyFont="1"/>
    <xf numFmtId="0" fontId="24" fillId="0" borderId="2" xfId="0" applyFont="1" applyBorder="1" applyAlignment="1">
      <alignment horizontal="center"/>
    </xf>
    <xf numFmtId="0" fontId="24" fillId="0" borderId="49" xfId="12" applyFont="1" applyBorder="1" applyAlignment="1">
      <alignment horizontal="center"/>
    </xf>
    <xf numFmtId="0" fontId="25" fillId="0" borderId="2" xfId="12" applyFont="1" applyBorder="1" applyAlignment="1">
      <alignment horizontal="center"/>
    </xf>
    <xf numFmtId="164" fontId="25" fillId="0" borderId="0" xfId="8" applyFont="1" applyAlignment="1">
      <alignment horizontal="center"/>
    </xf>
    <xf numFmtId="0" fontId="25" fillId="0" borderId="10" xfId="12" applyFont="1" applyBorder="1" applyAlignment="1">
      <alignment horizontal="center"/>
    </xf>
    <xf numFmtId="0" fontId="24" fillId="0" borderId="10" xfId="12" applyFont="1" applyBorder="1" applyAlignment="1">
      <alignment horizontal="left"/>
    </xf>
    <xf numFmtId="0" fontId="25" fillId="0" borderId="8" xfId="12" applyFont="1" applyBorder="1"/>
    <xf numFmtId="0" fontId="25" fillId="0" borderId="10" xfId="12" applyFont="1" applyBorder="1"/>
    <xf numFmtId="0" fontId="25" fillId="0" borderId="4" xfId="12" applyFont="1" applyBorder="1" applyAlignment="1">
      <alignment horizontal="left"/>
    </xf>
    <xf numFmtId="164" fontId="25" fillId="0" borderId="52" xfId="12" applyNumberFormat="1" applyFont="1" applyBorder="1"/>
    <xf numFmtId="164" fontId="25" fillId="0" borderId="4" xfId="12" applyNumberFormat="1" applyFont="1" applyBorder="1"/>
    <xf numFmtId="3" fontId="25" fillId="0" borderId="4" xfId="8" applyNumberFormat="1" applyFont="1" applyBorder="1" applyAlignment="1">
      <alignment horizontal="center"/>
    </xf>
    <xf numFmtId="0" fontId="25" fillId="0" borderId="4" xfId="12" applyFont="1" applyBorder="1" applyAlignment="1">
      <alignment horizontal="center"/>
    </xf>
    <xf numFmtId="43" fontId="25" fillId="0" borderId="4" xfId="4" applyNumberFormat="1" applyFont="1" applyBorder="1"/>
    <xf numFmtId="0" fontId="25" fillId="0" borderId="4" xfId="10" applyFont="1" applyBorder="1"/>
    <xf numFmtId="0" fontId="25" fillId="0" borderId="4" xfId="0" applyFont="1" applyBorder="1" applyAlignment="1">
      <alignment horizontal="left"/>
    </xf>
    <xf numFmtId="165" fontId="25" fillId="0" borderId="4" xfId="1" applyNumberFormat="1" applyFont="1" applyBorder="1" applyAlignment="1">
      <alignment horizontal="center" vertical="center"/>
    </xf>
    <xf numFmtId="0" fontId="25" fillId="0" borderId="9" xfId="10" applyFont="1" applyBorder="1"/>
    <xf numFmtId="0" fontId="25" fillId="0" borderId="9" xfId="0" applyFont="1" applyBorder="1" applyAlignment="1">
      <alignment horizontal="left"/>
    </xf>
    <xf numFmtId="164" fontId="24" fillId="0" borderId="52" xfId="12" applyNumberFormat="1" applyFont="1" applyBorder="1"/>
    <xf numFmtId="0" fontId="24" fillId="0" borderId="0" xfId="12" applyFont="1"/>
    <xf numFmtId="164" fontId="24" fillId="0" borderId="0" xfId="8" applyFont="1"/>
    <xf numFmtId="0" fontId="25" fillId="0" borderId="9" xfId="12" applyFont="1" applyBorder="1"/>
    <xf numFmtId="0" fontId="25" fillId="0" borderId="4" xfId="12" applyFont="1" applyBorder="1"/>
    <xf numFmtId="164" fontId="24" fillId="0" borderId="55" xfId="12" applyNumberFormat="1" applyFont="1" applyBorder="1"/>
    <xf numFmtId="0" fontId="26" fillId="0" borderId="9" xfId="12" applyFont="1" applyBorder="1" applyAlignment="1">
      <alignment horizontal="left"/>
    </xf>
    <xf numFmtId="164" fontId="25" fillId="0" borderId="9" xfId="12" applyNumberFormat="1" applyFont="1" applyBorder="1"/>
    <xf numFmtId="167" fontId="25" fillId="0" borderId="9" xfId="8" applyNumberFormat="1" applyFont="1" applyFill="1" applyBorder="1" applyAlignment="1">
      <alignment horizontal="center"/>
    </xf>
    <xf numFmtId="3" fontId="25" fillId="0" borderId="4" xfId="12" applyNumberFormat="1" applyFont="1" applyBorder="1" applyAlignment="1">
      <alignment horizontal="center"/>
    </xf>
    <xf numFmtId="43" fontId="25" fillId="0" borderId="0" xfId="12" applyNumberFormat="1" applyFont="1"/>
    <xf numFmtId="164" fontId="25" fillId="0" borderId="0" xfId="8" applyFont="1" applyFill="1"/>
    <xf numFmtId="0" fontId="24" fillId="0" borderId="6" xfId="12" applyFont="1" applyBorder="1" applyAlignment="1">
      <alignment horizontal="left"/>
    </xf>
    <xf numFmtId="164" fontId="24" fillId="0" borderId="4" xfId="12" applyNumberFormat="1" applyFont="1" applyBorder="1"/>
    <xf numFmtId="0" fontId="24" fillId="0" borderId="13" xfId="12" applyFont="1" applyBorder="1" applyAlignment="1">
      <alignment horizontal="left"/>
    </xf>
    <xf numFmtId="164" fontId="24" fillId="0" borderId="13" xfId="8" applyFont="1" applyFill="1" applyBorder="1"/>
    <xf numFmtId="43" fontId="24" fillId="0" borderId="0" xfId="12" applyNumberFormat="1" applyFont="1"/>
    <xf numFmtId="164" fontId="24" fillId="0" borderId="0" xfId="8" applyFont="1" applyFill="1"/>
    <xf numFmtId="164" fontId="24" fillId="0" borderId="0" xfId="8" applyFont="1" applyFill="1" applyBorder="1"/>
    <xf numFmtId="164" fontId="25" fillId="0" borderId="0" xfId="8" applyFont="1" applyBorder="1"/>
    <xf numFmtId="0" fontId="26" fillId="0" borderId="56" xfId="10" applyFont="1" applyBorder="1" applyAlignment="1">
      <alignment horizontal="center"/>
    </xf>
    <xf numFmtId="0" fontId="24" fillId="0" borderId="56" xfId="12" applyFont="1" applyBorder="1" applyAlignment="1">
      <alignment horizontal="center"/>
    </xf>
    <xf numFmtId="164" fontId="25" fillId="0" borderId="0" xfId="8" applyFont="1" applyBorder="1" applyAlignment="1">
      <alignment horizontal="center"/>
    </xf>
    <xf numFmtId="0" fontId="25" fillId="0" borderId="39" xfId="10" applyFont="1" applyBorder="1"/>
    <xf numFmtId="164" fontId="25" fillId="0" borderId="39" xfId="8" applyFont="1" applyBorder="1"/>
    <xf numFmtId="164" fontId="24" fillId="0" borderId="39" xfId="8" applyFont="1" applyBorder="1"/>
    <xf numFmtId="164" fontId="24" fillId="0" borderId="0" xfId="8" applyFont="1" applyBorder="1"/>
    <xf numFmtId="0" fontId="25" fillId="0" borderId="41" xfId="10" applyFont="1" applyBorder="1"/>
    <xf numFmtId="164" fontId="25" fillId="0" borderId="41" xfId="8" applyFont="1" applyBorder="1"/>
    <xf numFmtId="164" fontId="24" fillId="0" borderId="41" xfId="8" applyFont="1" applyBorder="1"/>
    <xf numFmtId="0" fontId="25" fillId="0" borderId="41" xfId="10" applyFont="1" applyBorder="1" applyAlignment="1">
      <alignment wrapText="1"/>
    </xf>
    <xf numFmtId="0" fontId="25" fillId="0" borderId="75" xfId="10" applyFont="1" applyBorder="1"/>
    <xf numFmtId="164" fontId="25" fillId="0" borderId="75" xfId="8" applyFont="1" applyBorder="1"/>
    <xf numFmtId="164" fontId="24" fillId="0" borderId="75" xfId="8" applyFont="1" applyBorder="1"/>
    <xf numFmtId="0" fontId="26" fillId="0" borderId="25" xfId="10" applyFont="1" applyBorder="1" applyAlignment="1">
      <alignment horizontal="center"/>
    </xf>
    <xf numFmtId="164" fontId="25" fillId="0" borderId="11" xfId="8" applyFont="1" applyBorder="1"/>
    <xf numFmtId="164" fontId="24" fillId="0" borderId="11" xfId="8" applyFont="1" applyBorder="1"/>
    <xf numFmtId="0" fontId="25" fillId="0" borderId="54" xfId="10" applyFont="1" applyBorder="1"/>
    <xf numFmtId="164" fontId="25" fillId="0" borderId="54" xfId="8" applyFont="1" applyBorder="1"/>
    <xf numFmtId="164" fontId="24" fillId="0" borderId="54" xfId="8" applyFont="1" applyBorder="1"/>
    <xf numFmtId="0" fontId="24" fillId="0" borderId="74" xfId="10" applyFont="1" applyBorder="1" applyAlignment="1">
      <alignment horizontal="center"/>
    </xf>
    <xf numFmtId="164" fontId="24" fillId="0" borderId="60" xfId="8" applyFont="1" applyBorder="1"/>
    <xf numFmtId="164" fontId="25" fillId="0" borderId="0" xfId="8" applyFont="1" applyFill="1" applyBorder="1"/>
    <xf numFmtId="0" fontId="25" fillId="0" borderId="42" xfId="12" applyFont="1" applyBorder="1" applyAlignment="1">
      <alignment horizontal="center"/>
    </xf>
    <xf numFmtId="0" fontId="24" fillId="0" borderId="10" xfId="12" applyFont="1" applyBorder="1" applyAlignment="1">
      <alignment horizontal="center"/>
    </xf>
    <xf numFmtId="0" fontId="24" fillId="0" borderId="8" xfId="12" applyFont="1" applyBorder="1" applyAlignment="1">
      <alignment horizontal="center"/>
    </xf>
    <xf numFmtId="0" fontId="25" fillId="0" borderId="8" xfId="12" applyFont="1" applyBorder="1" applyAlignment="1">
      <alignment horizontal="center"/>
    </xf>
    <xf numFmtId="0" fontId="24" fillId="0" borderId="4" xfId="12" applyFont="1" applyBorder="1" applyAlignment="1">
      <alignment horizontal="center"/>
    </xf>
    <xf numFmtId="164" fontId="25" fillId="0" borderId="4" xfId="8" applyFont="1" applyBorder="1"/>
    <xf numFmtId="164" fontId="24" fillId="0" borderId="4" xfId="12" applyNumberFormat="1" applyFont="1" applyBorder="1" applyAlignment="1">
      <alignment horizontal="center"/>
    </xf>
    <xf numFmtId="0" fontId="24" fillId="0" borderId="57" xfId="0" applyFont="1" applyBorder="1"/>
    <xf numFmtId="0" fontId="24" fillId="0" borderId="57" xfId="12" applyFont="1" applyBorder="1" applyAlignment="1">
      <alignment horizontal="center"/>
    </xf>
    <xf numFmtId="164" fontId="24" fillId="0" borderId="57" xfId="12" applyNumberFormat="1" applyFont="1" applyBorder="1" applyAlignment="1">
      <alignment horizontal="center"/>
    </xf>
    <xf numFmtId="0" fontId="25" fillId="0" borderId="58" xfId="10" applyFont="1" applyBorder="1"/>
    <xf numFmtId="0" fontId="25" fillId="0" borderId="58" xfId="12" applyFont="1" applyBorder="1" applyAlignment="1">
      <alignment horizontal="center"/>
    </xf>
    <xf numFmtId="0" fontId="24" fillId="0" borderId="58" xfId="12" applyFont="1" applyBorder="1" applyAlignment="1">
      <alignment horizontal="center"/>
    </xf>
    <xf numFmtId="0" fontId="25" fillId="0" borderId="4" xfId="0" applyFont="1" applyBorder="1"/>
    <xf numFmtId="0" fontId="24" fillId="0" borderId="57" xfId="12" applyFont="1" applyBorder="1"/>
    <xf numFmtId="43" fontId="25" fillId="0" borderId="4" xfId="4" applyNumberFormat="1" applyFont="1" applyFill="1" applyBorder="1" applyAlignment="1">
      <alignment horizontal="left" shrinkToFit="1"/>
    </xf>
    <xf numFmtId="0" fontId="24" fillId="0" borderId="57" xfId="10" applyFont="1" applyBorder="1"/>
    <xf numFmtId="0" fontId="24" fillId="0" borderId="51" xfId="10" applyFont="1" applyBorder="1"/>
    <xf numFmtId="0" fontId="24" fillId="0" borderId="51" xfId="12" applyFont="1" applyBorder="1" applyAlignment="1">
      <alignment horizontal="center"/>
    </xf>
    <xf numFmtId="164" fontId="24" fillId="0" borderId="51" xfId="12" applyNumberFormat="1" applyFont="1" applyBorder="1" applyAlignment="1">
      <alignment horizontal="center"/>
    </xf>
    <xf numFmtId="0" fontId="24" fillId="0" borderId="0" xfId="10" applyFont="1"/>
    <xf numFmtId="164" fontId="24" fillId="0" borderId="0" xfId="12" applyNumberFormat="1" applyFont="1" applyAlignment="1">
      <alignment horizontal="center"/>
    </xf>
    <xf numFmtId="0" fontId="25" fillId="0" borderId="52" xfId="10" applyFont="1" applyBorder="1"/>
    <xf numFmtId="0" fontId="25" fillId="0" borderId="52" xfId="12" applyFont="1" applyBorder="1" applyAlignment="1">
      <alignment horizontal="center"/>
    </xf>
    <xf numFmtId="0" fontId="24" fillId="0" borderId="52" xfId="12" applyFont="1" applyBorder="1" applyAlignment="1">
      <alignment horizontal="center"/>
    </xf>
    <xf numFmtId="0" fontId="25" fillId="0" borderId="4" xfId="0" applyFont="1" applyBorder="1" applyAlignment="1">
      <alignment shrinkToFit="1"/>
    </xf>
    <xf numFmtId="0" fontId="25" fillId="0" borderId="59" xfId="10" applyFont="1" applyBorder="1"/>
    <xf numFmtId="0" fontId="25" fillId="0" borderId="11" xfId="12" applyFont="1" applyBorder="1" applyAlignment="1">
      <alignment horizontal="center"/>
    </xf>
    <xf numFmtId="0" fontId="24" fillId="0" borderId="11" xfId="12" applyFont="1" applyBorder="1" applyAlignment="1">
      <alignment horizontal="center"/>
    </xf>
    <xf numFmtId="0" fontId="25" fillId="0" borderId="52" xfId="0" applyFont="1" applyBorder="1"/>
    <xf numFmtId="0" fontId="24" fillId="0" borderId="60" xfId="10" applyFont="1" applyBorder="1"/>
    <xf numFmtId="0" fontId="24" fillId="0" borderId="60" xfId="12" applyFont="1" applyBorder="1" applyAlignment="1">
      <alignment horizontal="center"/>
    </xf>
    <xf numFmtId="164" fontId="24" fillId="0" borderId="60" xfId="12" applyNumberFormat="1" applyFont="1" applyBorder="1" applyAlignment="1">
      <alignment horizontal="center"/>
    </xf>
    <xf numFmtId="164" fontId="25" fillId="0" borderId="58" xfId="12" applyNumberFormat="1" applyFont="1" applyBorder="1" applyAlignment="1">
      <alignment horizontal="center"/>
    </xf>
    <xf numFmtId="164" fontId="25" fillId="0" borderId="4" xfId="12" applyNumberFormat="1" applyFont="1" applyBorder="1" applyAlignment="1">
      <alignment horizontal="center"/>
    </xf>
    <xf numFmtId="0" fontId="24" fillId="0" borderId="11" xfId="10" applyFont="1" applyBorder="1"/>
    <xf numFmtId="164" fontId="24" fillId="0" borderId="11" xfId="12" applyNumberFormat="1" applyFont="1" applyBorder="1" applyAlignment="1">
      <alignment horizontal="center"/>
    </xf>
    <xf numFmtId="0" fontId="25" fillId="0" borderId="58" xfId="10" applyFont="1" applyBorder="1" applyAlignment="1">
      <alignment wrapText="1"/>
    </xf>
    <xf numFmtId="0" fontId="24" fillId="0" borderId="57" xfId="10" applyFont="1" applyBorder="1" applyAlignment="1">
      <alignment wrapText="1"/>
    </xf>
    <xf numFmtId="167" fontId="25" fillId="0" borderId="4" xfId="4" applyNumberFormat="1" applyFont="1" applyFill="1" applyBorder="1" applyAlignment="1">
      <alignment horizontal="justify" shrinkToFit="1"/>
    </xf>
    <xf numFmtId="0" fontId="25" fillId="0" borderId="11" xfId="12" applyFont="1" applyBorder="1"/>
    <xf numFmtId="164" fontId="25" fillId="0" borderId="11" xfId="12" applyNumberFormat="1" applyFont="1" applyBorder="1" applyAlignment="1">
      <alignment horizontal="center"/>
    </xf>
    <xf numFmtId="2" fontId="24" fillId="0" borderId="57" xfId="12" applyNumberFormat="1" applyFont="1" applyBorder="1" applyAlignment="1">
      <alignment horizontal="center"/>
    </xf>
    <xf numFmtId="164" fontId="24" fillId="0" borderId="57" xfId="8" applyFont="1" applyBorder="1"/>
    <xf numFmtId="164" fontId="24" fillId="0" borderId="57" xfId="12" applyNumberFormat="1" applyFont="1" applyBorder="1"/>
    <xf numFmtId="0" fontId="25" fillId="0" borderId="52" xfId="10" applyFont="1" applyBorder="1" applyAlignment="1">
      <alignment wrapText="1"/>
    </xf>
    <xf numFmtId="43" fontId="25" fillId="0" borderId="4" xfId="4" applyNumberFormat="1" applyFont="1" applyFill="1" applyBorder="1" applyAlignment="1">
      <alignment horizontal="left"/>
    </xf>
    <xf numFmtId="0" fontId="24" fillId="0" borderId="51" xfId="0" applyFont="1" applyBorder="1"/>
    <xf numFmtId="2" fontId="24" fillId="0" borderId="51" xfId="12" applyNumberFormat="1" applyFont="1" applyBorder="1" applyAlignment="1">
      <alignment horizontal="center"/>
    </xf>
    <xf numFmtId="164" fontId="24" fillId="0" borderId="51" xfId="8" applyFont="1" applyBorder="1"/>
    <xf numFmtId="164" fontId="24" fillId="0" borderId="51" xfId="12" applyNumberFormat="1" applyFont="1" applyBorder="1"/>
    <xf numFmtId="2" fontId="25" fillId="0" borderId="52" xfId="12" applyNumberFormat="1" applyFont="1" applyBorder="1" applyAlignment="1">
      <alignment horizontal="center"/>
    </xf>
    <xf numFmtId="164" fontId="25" fillId="0" borderId="52" xfId="8" applyFont="1" applyBorder="1"/>
    <xf numFmtId="2" fontId="25" fillId="0" borderId="58" xfId="12" applyNumberFormat="1" applyFont="1" applyBorder="1" applyAlignment="1">
      <alignment horizontal="center"/>
    </xf>
    <xf numFmtId="164" fontId="25" fillId="0" borderId="58" xfId="8" applyFont="1" applyBorder="1"/>
    <xf numFmtId="164" fontId="24" fillId="0" borderId="58" xfId="12" applyNumberFormat="1" applyFont="1" applyBorder="1"/>
    <xf numFmtId="0" fontId="25" fillId="0" borderId="58" xfId="12" applyFont="1" applyBorder="1"/>
    <xf numFmtId="167" fontId="24" fillId="0" borderId="57" xfId="4" applyNumberFormat="1" applyFont="1" applyFill="1" applyBorder="1" applyAlignment="1">
      <alignment horizontal="justify" shrinkToFit="1"/>
    </xf>
    <xf numFmtId="167" fontId="24" fillId="0" borderId="58" xfId="4" applyNumberFormat="1" applyFont="1" applyFill="1" applyBorder="1" applyAlignment="1">
      <alignment horizontal="center" shrinkToFit="1"/>
    </xf>
    <xf numFmtId="164" fontId="24" fillId="0" borderId="4" xfId="8" applyFont="1" applyBorder="1"/>
    <xf numFmtId="164" fontId="24" fillId="0" borderId="52" xfId="8" applyFont="1" applyBorder="1"/>
    <xf numFmtId="0" fontId="25" fillId="0" borderId="4" xfId="0" applyFont="1" applyBorder="1" applyAlignment="1">
      <alignment wrapText="1" shrinkToFit="1"/>
    </xf>
    <xf numFmtId="0" fontId="24" fillId="0" borderId="60" xfId="12" applyFont="1" applyBorder="1"/>
    <xf numFmtId="43" fontId="27" fillId="0" borderId="4" xfId="4" applyNumberFormat="1" applyFont="1" applyFill="1" applyBorder="1" applyAlignment="1">
      <alignment horizontal="left"/>
    </xf>
    <xf numFmtId="43" fontId="27" fillId="0" borderId="57" xfId="4" applyNumberFormat="1" applyFont="1" applyFill="1" applyBorder="1" applyAlignment="1">
      <alignment horizontal="left"/>
    </xf>
    <xf numFmtId="43" fontId="27" fillId="0" borderId="4" xfId="4" applyNumberFormat="1" applyFont="1" applyFill="1" applyBorder="1" applyAlignment="1">
      <alignment horizontal="left" shrinkToFit="1"/>
    </xf>
    <xf numFmtId="168" fontId="25" fillId="0" borderId="52" xfId="8" applyNumberFormat="1" applyFont="1" applyBorder="1"/>
    <xf numFmtId="0" fontId="24" fillId="0" borderId="51" xfId="12" applyFont="1" applyBorder="1"/>
    <xf numFmtId="164" fontId="24" fillId="0" borderId="58" xfId="8" applyFont="1" applyBorder="1"/>
    <xf numFmtId="0" fontId="25" fillId="0" borderId="57" xfId="12" applyFont="1" applyBorder="1" applyAlignment="1">
      <alignment horizontal="center"/>
    </xf>
    <xf numFmtId="0" fontId="25" fillId="0" borderId="4" xfId="0" applyFont="1" applyBorder="1" applyAlignment="1">
      <alignment wrapText="1"/>
    </xf>
    <xf numFmtId="1" fontId="25" fillId="0" borderId="4" xfId="0" applyNumberFormat="1" applyFont="1" applyBorder="1" applyAlignment="1">
      <alignment vertical="top" wrapText="1"/>
    </xf>
    <xf numFmtId="0" fontId="27" fillId="0" borderId="4" xfId="0" applyFont="1" applyBorder="1" applyAlignment="1">
      <alignment horizontal="left"/>
    </xf>
    <xf numFmtId="0" fontId="28" fillId="0" borderId="57" xfId="0" applyFont="1" applyBorder="1"/>
    <xf numFmtId="0" fontId="25" fillId="0" borderId="4" xfId="0" applyFont="1" applyBorder="1" applyAlignment="1">
      <alignment horizontal="left" vertical="center" shrinkToFit="1"/>
    </xf>
    <xf numFmtId="0" fontId="27" fillId="0" borderId="4" xfId="0" applyFont="1" applyBorder="1" applyAlignment="1">
      <alignment wrapText="1"/>
    </xf>
    <xf numFmtId="164" fontId="25" fillId="0" borderId="4" xfId="2" applyFont="1" applyFill="1" applyBorder="1" applyAlignment="1">
      <alignment horizontal="left" wrapText="1" shrinkToFit="1"/>
    </xf>
    <xf numFmtId="164" fontId="24" fillId="0" borderId="0" xfId="12" applyNumberFormat="1" applyFont="1"/>
    <xf numFmtId="164" fontId="25" fillId="0" borderId="52" xfId="8" applyFont="1" applyFill="1" applyBorder="1"/>
    <xf numFmtId="164" fontId="24" fillId="0" borderId="11" xfId="12" applyNumberFormat="1" applyFont="1" applyBorder="1"/>
    <xf numFmtId="0" fontId="25" fillId="0" borderId="4" xfId="4" applyFont="1" applyFill="1" applyBorder="1" applyAlignment="1">
      <alignment horizontal="left" shrinkToFit="1"/>
    </xf>
    <xf numFmtId="0" fontId="24" fillId="0" borderId="61" xfId="12" applyFont="1" applyBorder="1" applyAlignment="1">
      <alignment horizontal="center"/>
    </xf>
    <xf numFmtId="0" fontId="24" fillId="0" borderId="62" xfId="12" applyFont="1" applyBorder="1"/>
    <xf numFmtId="43" fontId="24" fillId="0" borderId="13" xfId="12" applyNumberFormat="1" applyFont="1" applyBorder="1"/>
    <xf numFmtId="0" fontId="25" fillId="0" borderId="0" xfId="12" applyFont="1" applyAlignment="1">
      <alignment horizontal="center"/>
    </xf>
    <xf numFmtId="0" fontId="24" fillId="0" borderId="2" xfId="12" applyFont="1" applyBorder="1" applyAlignment="1">
      <alignment horizontal="center"/>
    </xf>
    <xf numFmtId="0" fontId="25" fillId="0" borderId="0" xfId="12" applyFont="1" applyAlignment="1">
      <alignment horizontal="center" vertical="center"/>
    </xf>
    <xf numFmtId="0" fontId="25" fillId="0" borderId="8" xfId="0" applyFont="1" applyBorder="1"/>
    <xf numFmtId="164" fontId="25" fillId="0" borderId="52" xfId="8" applyFont="1" applyBorder="1" applyAlignment="1">
      <alignment horizontal="center"/>
    </xf>
    <xf numFmtId="164" fontId="24" fillId="0" borderId="52" xfId="12" applyNumberFormat="1" applyFont="1" applyBorder="1" applyAlignment="1">
      <alignment horizontal="center"/>
    </xf>
    <xf numFmtId="3" fontId="25" fillId="0" borderId="8" xfId="8" applyNumberFormat="1" applyFont="1" applyBorder="1" applyAlignment="1">
      <alignment horizontal="center"/>
    </xf>
    <xf numFmtId="43" fontId="24" fillId="0" borderId="52" xfId="12" applyNumberFormat="1" applyFont="1" applyBorder="1" applyAlignment="1">
      <alignment horizontal="center"/>
    </xf>
    <xf numFmtId="9" fontId="25" fillId="0" borderId="0" xfId="12" applyNumberFormat="1" applyFont="1"/>
    <xf numFmtId="164" fontId="25" fillId="0" borderId="4" xfId="8" applyFont="1" applyBorder="1" applyAlignment="1">
      <alignment horizontal="center"/>
    </xf>
    <xf numFmtId="0" fontId="24" fillId="0" borderId="13" xfId="12" applyFont="1" applyBorder="1" applyAlignment="1">
      <alignment horizontal="center"/>
    </xf>
    <xf numFmtId="164" fontId="24" fillId="0" borderId="13" xfId="8" applyFont="1" applyBorder="1"/>
    <xf numFmtId="0" fontId="25" fillId="0" borderId="13" xfId="12" applyFont="1" applyBorder="1"/>
    <xf numFmtId="43" fontId="24" fillId="0" borderId="0" xfId="12" applyNumberFormat="1" applyFont="1" applyAlignment="1">
      <alignment horizontal="center"/>
    </xf>
    <xf numFmtId="167" fontId="25" fillId="0" borderId="0" xfId="8" applyNumberFormat="1" applyFont="1" applyBorder="1" applyAlignment="1">
      <alignment horizontal="center"/>
    </xf>
    <xf numFmtId="164" fontId="24" fillId="0" borderId="0" xfId="8" applyFont="1" applyBorder="1" applyAlignment="1">
      <alignment horizontal="center"/>
    </xf>
    <xf numFmtId="43" fontId="24" fillId="0" borderId="0" xfId="4" applyNumberFormat="1" applyFont="1"/>
    <xf numFmtId="1" fontId="24" fillId="0" borderId="0" xfId="4" applyNumberFormat="1" applyFont="1"/>
    <xf numFmtId="43" fontId="24" fillId="0" borderId="0" xfId="4" applyNumberFormat="1" applyFont="1" applyBorder="1"/>
    <xf numFmtId="0" fontId="24" fillId="0" borderId="42" xfId="12" applyFont="1" applyBorder="1" applyAlignment="1">
      <alignment horizontal="center"/>
    </xf>
    <xf numFmtId="43" fontId="24" fillId="0" borderId="2" xfId="4" applyNumberFormat="1" applyFont="1" applyBorder="1" applyAlignment="1">
      <alignment horizontal="center"/>
    </xf>
    <xf numFmtId="1" fontId="24" fillId="0" borderId="2" xfId="4" applyNumberFormat="1" applyFont="1" applyBorder="1" applyAlignment="1">
      <alignment horizontal="center"/>
    </xf>
    <xf numFmtId="43" fontId="24" fillId="0" borderId="55" xfId="4" applyNumberFormat="1" applyFont="1" applyBorder="1" applyAlignment="1">
      <alignment horizontal="center"/>
    </xf>
    <xf numFmtId="0" fontId="26" fillId="0" borderId="8" xfId="12" applyFont="1" applyBorder="1"/>
    <xf numFmtId="43" fontId="24" fillId="0" borderId="8" xfId="4" applyNumberFormat="1" applyFont="1" applyBorder="1" applyAlignment="1">
      <alignment horizontal="center"/>
    </xf>
    <xf numFmtId="1" fontId="24" fillId="0" borderId="8" xfId="4" applyNumberFormat="1" applyFont="1" applyBorder="1" applyAlignment="1">
      <alignment horizontal="center"/>
    </xf>
    <xf numFmtId="43" fontId="24" fillId="0" borderId="7" xfId="4" applyNumberFormat="1" applyFont="1" applyBorder="1" applyAlignment="1">
      <alignment horizontal="center"/>
    </xf>
    <xf numFmtId="43" fontId="25" fillId="0" borderId="4" xfId="4" applyNumberFormat="1" applyFont="1" applyBorder="1" applyAlignment="1">
      <alignment horizontal="center"/>
    </xf>
    <xf numFmtId="1" fontId="25" fillId="0" borderId="4" xfId="4" applyNumberFormat="1" applyFont="1" applyBorder="1" applyAlignment="1">
      <alignment horizontal="center"/>
    </xf>
    <xf numFmtId="43" fontId="25" fillId="0" borderId="3" xfId="4" applyNumberFormat="1" applyFont="1" applyBorder="1" applyAlignment="1">
      <alignment horizontal="center"/>
    </xf>
    <xf numFmtId="43" fontId="25" fillId="0" borderId="55" xfId="4" applyNumberFormat="1" applyFont="1" applyBorder="1" applyAlignment="1">
      <alignment horizontal="center"/>
    </xf>
    <xf numFmtId="0" fontId="25" fillId="0" borderId="6" xfId="0" applyFont="1" applyBorder="1" applyAlignment="1">
      <alignment horizontal="left"/>
    </xf>
    <xf numFmtId="164" fontId="25" fillId="0" borderId="6" xfId="12" applyNumberFormat="1" applyFont="1" applyBorder="1" applyAlignment="1">
      <alignment horizontal="center"/>
    </xf>
    <xf numFmtId="0" fontId="25" fillId="0" borderId="6" xfId="12" applyFont="1" applyBorder="1" applyAlignment="1">
      <alignment horizontal="center"/>
    </xf>
    <xf numFmtId="43" fontId="25" fillId="0" borderId="6" xfId="4" applyNumberFormat="1" applyFont="1" applyBorder="1" applyAlignment="1">
      <alignment horizontal="center"/>
    </xf>
    <xf numFmtId="1" fontId="25" fillId="0" borderId="6" xfId="4" applyNumberFormat="1" applyFont="1" applyBorder="1" applyAlignment="1">
      <alignment horizontal="center"/>
    </xf>
    <xf numFmtId="43" fontId="25" fillId="0" borderId="5" xfId="4" applyNumberFormat="1" applyFont="1" applyBorder="1" applyAlignment="1">
      <alignment horizontal="center"/>
    </xf>
    <xf numFmtId="43" fontId="24" fillId="0" borderId="42" xfId="4" applyNumberFormat="1" applyFont="1" applyBorder="1" applyAlignment="1">
      <alignment horizontal="center"/>
    </xf>
    <xf numFmtId="0" fontId="29" fillId="0" borderId="4" xfId="12" applyFont="1" applyBorder="1" applyAlignment="1">
      <alignment horizontal="center"/>
    </xf>
    <xf numFmtId="1" fontId="29" fillId="0" borderId="4" xfId="4" applyNumberFormat="1" applyFont="1" applyBorder="1" applyAlignment="1">
      <alignment horizontal="center"/>
    </xf>
    <xf numFmtId="0" fontId="29" fillId="0" borderId="0" xfId="12" applyFont="1"/>
    <xf numFmtId="0" fontId="26" fillId="0" borderId="4" xfId="12" applyFont="1" applyBorder="1"/>
    <xf numFmtId="0" fontId="25" fillId="0" borderId="6" xfId="12" applyFont="1" applyBorder="1"/>
    <xf numFmtId="164" fontId="24" fillId="0" borderId="50" xfId="8" applyFont="1" applyBorder="1"/>
    <xf numFmtId="164" fontId="24" fillId="0" borderId="14" xfId="8" applyFont="1" applyBorder="1"/>
    <xf numFmtId="164" fontId="24" fillId="0" borderId="55" xfId="8" applyFont="1" applyBorder="1"/>
    <xf numFmtId="1" fontId="25" fillId="0" borderId="0" xfId="4" applyNumberFormat="1" applyFont="1" applyBorder="1"/>
    <xf numFmtId="43" fontId="25" fillId="0" borderId="0" xfId="4" applyNumberFormat="1" applyFont="1"/>
    <xf numFmtId="1" fontId="25" fillId="0" borderId="0" xfId="4" applyNumberFormat="1" applyFont="1"/>
    <xf numFmtId="43" fontId="25" fillId="0" borderId="0" xfId="4" applyNumberFormat="1" applyFont="1" applyBorder="1"/>
    <xf numFmtId="0" fontId="24" fillId="0" borderId="2" xfId="12" applyFont="1" applyBorder="1"/>
    <xf numFmtId="0" fontId="24" fillId="0" borderId="43" xfId="12" applyFont="1" applyBorder="1" applyAlignment="1">
      <alignment horizontal="center"/>
    </xf>
    <xf numFmtId="0" fontId="25" fillId="0" borderId="8" xfId="0" applyFont="1" applyBorder="1" applyAlignment="1">
      <alignment horizontal="left"/>
    </xf>
    <xf numFmtId="164" fontId="25" fillId="0" borderId="8" xfId="12" applyNumberFormat="1" applyFont="1" applyBorder="1" applyAlignment="1">
      <alignment horizontal="center"/>
    </xf>
    <xf numFmtId="43" fontId="25" fillId="0" borderId="8" xfId="4" applyNumberFormat="1" applyFont="1" applyBorder="1" applyAlignment="1">
      <alignment horizontal="center"/>
    </xf>
    <xf numFmtId="1" fontId="25" fillId="0" borderId="8" xfId="4" applyNumberFormat="1" applyFont="1" applyBorder="1" applyAlignment="1">
      <alignment horizontal="center"/>
    </xf>
    <xf numFmtId="43" fontId="25" fillId="0" borderId="7" xfId="4" applyNumberFormat="1" applyFont="1" applyBorder="1" applyAlignment="1">
      <alignment horizontal="center"/>
    </xf>
    <xf numFmtId="0" fontId="24" fillId="0" borderId="4" xfId="12" applyFont="1" applyBorder="1" applyAlignment="1">
      <alignment horizontal="left"/>
    </xf>
    <xf numFmtId="0" fontId="25" fillId="0" borderId="6" xfId="12" applyFont="1" applyBorder="1" applyAlignment="1">
      <alignment horizontal="left"/>
    </xf>
    <xf numFmtId="0" fontId="25" fillId="0" borderId="8" xfId="12" applyFont="1" applyBorder="1" applyAlignment="1">
      <alignment horizontal="left"/>
    </xf>
    <xf numFmtId="164" fontId="24" fillId="0" borderId="50" xfId="12" applyNumberFormat="1" applyFont="1" applyBorder="1"/>
    <xf numFmtId="164" fontId="24" fillId="0" borderId="62" xfId="12" applyNumberFormat="1" applyFont="1" applyBorder="1"/>
    <xf numFmtId="0" fontId="25" fillId="0" borderId="51" xfId="12" applyFont="1" applyBorder="1"/>
    <xf numFmtId="164" fontId="24" fillId="0" borderId="13" xfId="12" applyNumberFormat="1" applyFont="1" applyBorder="1"/>
    <xf numFmtId="164" fontId="24" fillId="0" borderId="14" xfId="12" applyNumberFormat="1" applyFont="1" applyBorder="1"/>
    <xf numFmtId="0" fontId="26" fillId="0" borderId="10" xfId="12" applyFont="1" applyBorder="1"/>
    <xf numFmtId="43" fontId="24" fillId="0" borderId="10" xfId="4" applyNumberFormat="1" applyFont="1" applyBorder="1" applyAlignment="1">
      <alignment horizontal="center"/>
    </xf>
    <xf numFmtId="1" fontId="24" fillId="0" borderId="10" xfId="4" applyNumberFormat="1" applyFont="1" applyBorder="1" applyAlignment="1">
      <alignment horizontal="center"/>
    </xf>
    <xf numFmtId="43" fontId="24" fillId="0" borderId="78" xfId="4" applyNumberFormat="1" applyFont="1" applyBorder="1" applyAlignment="1">
      <alignment horizontal="center"/>
    </xf>
    <xf numFmtId="164" fontId="25" fillId="0" borderId="9" xfId="12" applyNumberFormat="1" applyFont="1" applyBorder="1" applyAlignment="1">
      <alignment horizontal="center"/>
    </xf>
    <xf numFmtId="0" fontId="25" fillId="0" borderId="9" xfId="12" applyFont="1" applyBorder="1" applyAlignment="1">
      <alignment horizontal="center"/>
    </xf>
    <xf numFmtId="43" fontId="25" fillId="0" borderId="9" xfId="4" applyNumberFormat="1" applyFont="1" applyBorder="1" applyAlignment="1">
      <alignment horizontal="center"/>
    </xf>
    <xf numFmtId="1" fontId="25" fillId="0" borderId="9" xfId="4" applyNumberFormat="1" applyFont="1" applyBorder="1" applyAlignment="1">
      <alignment horizontal="center"/>
    </xf>
    <xf numFmtId="43" fontId="25" fillId="0" borderId="70" xfId="4" applyNumberFormat="1" applyFont="1" applyBorder="1" applyAlignment="1">
      <alignment horizontal="center"/>
    </xf>
    <xf numFmtId="0" fontId="25" fillId="0" borderId="73" xfId="12" applyFont="1" applyBorder="1"/>
    <xf numFmtId="0" fontId="25" fillId="0" borderId="52" xfId="12" applyFont="1" applyBorder="1"/>
    <xf numFmtId="164" fontId="25" fillId="0" borderId="52" xfId="12" applyNumberFormat="1" applyFont="1" applyBorder="1" applyAlignment="1">
      <alignment horizontal="center"/>
    </xf>
    <xf numFmtId="43" fontId="25" fillId="0" borderId="52" xfId="4" applyNumberFormat="1" applyFont="1" applyBorder="1" applyAlignment="1">
      <alignment horizontal="center"/>
    </xf>
    <xf numFmtId="1" fontId="25" fillId="0" borderId="52" xfId="4" applyNumberFormat="1" applyFont="1" applyBorder="1" applyAlignment="1">
      <alignment horizontal="center"/>
    </xf>
    <xf numFmtId="43" fontId="25" fillId="0" borderId="79" xfId="4" applyNumberFormat="1" applyFont="1" applyBorder="1" applyAlignment="1">
      <alignment horizontal="center"/>
    </xf>
    <xf numFmtId="43" fontId="25" fillId="0" borderId="55" xfId="4" applyNumberFormat="1" applyFont="1" applyBorder="1"/>
    <xf numFmtId="164" fontId="25" fillId="0" borderId="8" xfId="8" applyFont="1" applyBorder="1"/>
    <xf numFmtId="164" fontId="24" fillId="0" borderId="8" xfId="8" applyFont="1" applyBorder="1"/>
    <xf numFmtId="165" fontId="25" fillId="0" borderId="8" xfId="4" applyNumberFormat="1" applyFont="1" applyBorder="1" applyAlignment="1">
      <alignment horizontal="center"/>
    </xf>
    <xf numFmtId="0" fontId="25" fillId="0" borderId="6" xfId="0" applyFont="1" applyBorder="1"/>
    <xf numFmtId="164" fontId="25" fillId="0" borderId="6" xfId="8" applyFont="1" applyBorder="1"/>
    <xf numFmtId="167" fontId="24" fillId="0" borderId="13" xfId="12" applyNumberFormat="1" applyFont="1" applyBorder="1"/>
    <xf numFmtId="0" fontId="24" fillId="0" borderId="13" xfId="12" applyFont="1" applyBorder="1"/>
    <xf numFmtId="167" fontId="24" fillId="0" borderId="0" xfId="12" applyNumberFormat="1" applyFont="1"/>
    <xf numFmtId="0" fontId="30" fillId="0" borderId="0" xfId="12" applyFont="1" applyAlignment="1">
      <alignment horizontal="center"/>
    </xf>
    <xf numFmtId="0" fontId="30" fillId="0" borderId="0" xfId="12" applyFont="1"/>
    <xf numFmtId="0" fontId="32" fillId="0" borderId="0" xfId="12" applyFont="1" applyAlignment="1">
      <alignment horizontal="center"/>
    </xf>
    <xf numFmtId="164" fontId="25" fillId="0" borderId="8" xfId="12" applyNumberFormat="1" applyFont="1" applyBorder="1"/>
    <xf numFmtId="0" fontId="33" fillId="0" borderId="4" xfId="0" applyFont="1" applyBorder="1"/>
    <xf numFmtId="165" fontId="34" fillId="0" borderId="4" xfId="4" applyNumberFormat="1" applyFont="1" applyBorder="1" applyAlignment="1">
      <alignment horizontal="center"/>
    </xf>
    <xf numFmtId="0" fontId="34" fillId="0" borderId="4" xfId="8" applyNumberFormat="1" applyFont="1" applyBorder="1" applyAlignment="1">
      <alignment horizontal="center"/>
    </xf>
    <xf numFmtId="43" fontId="25" fillId="0" borderId="4" xfId="12" applyNumberFormat="1" applyFont="1" applyBorder="1"/>
    <xf numFmtId="0" fontId="34" fillId="0" borderId="4" xfId="12" applyFont="1" applyBorder="1" applyAlignment="1">
      <alignment horizontal="center"/>
    </xf>
    <xf numFmtId="3" fontId="34" fillId="0" borderId="4" xfId="8" applyNumberFormat="1" applyFont="1" applyBorder="1" applyAlignment="1">
      <alignment horizontal="center"/>
    </xf>
    <xf numFmtId="164" fontId="25" fillId="0" borderId="6" xfId="12" applyNumberFormat="1" applyFont="1" applyBorder="1"/>
    <xf numFmtId="0" fontId="24" fillId="0" borderId="63" xfId="12" applyFont="1" applyBorder="1" applyAlignment="1">
      <alignment horizontal="center"/>
    </xf>
    <xf numFmtId="164" fontId="24" fillId="0" borderId="60" xfId="12" applyNumberFormat="1" applyFont="1" applyBorder="1"/>
    <xf numFmtId="0" fontId="31" fillId="0" borderId="0" xfId="12" applyFont="1" applyAlignment="1">
      <alignment horizontal="center"/>
    </xf>
    <xf numFmtId="0" fontId="34" fillId="0" borderId="0" xfId="12" applyFont="1"/>
    <xf numFmtId="0" fontId="31" fillId="0" borderId="0" xfId="12" applyFont="1"/>
    <xf numFmtId="4" fontId="32" fillId="0" borderId="0" xfId="12" applyNumberFormat="1" applyFont="1" applyProtection="1">
      <protection locked="0"/>
    </xf>
    <xf numFmtId="4" fontId="34" fillId="0" borderId="0" xfId="12" applyNumberFormat="1" applyFont="1" applyProtection="1">
      <protection locked="0"/>
    </xf>
    <xf numFmtId="4" fontId="35" fillId="0" borderId="0" xfId="12" applyNumberFormat="1" applyFont="1" applyProtection="1">
      <protection locked="0"/>
    </xf>
    <xf numFmtId="3" fontId="34" fillId="0" borderId="0" xfId="8" applyNumberFormat="1" applyFont="1" applyAlignment="1" applyProtection="1">
      <alignment horizontal="center"/>
      <protection locked="0"/>
    </xf>
    <xf numFmtId="4" fontId="34" fillId="0" borderId="0" xfId="12" applyNumberFormat="1" applyFont="1" applyAlignment="1" applyProtection="1">
      <alignment horizontal="center"/>
      <protection locked="0"/>
    </xf>
    <xf numFmtId="4" fontId="34" fillId="0" borderId="0" xfId="12" applyNumberFormat="1" applyFont="1"/>
    <xf numFmtId="165" fontId="34" fillId="0" borderId="0" xfId="4" applyNumberFormat="1" applyFont="1"/>
    <xf numFmtId="4" fontId="34" fillId="0" borderId="0" xfId="12" applyNumberFormat="1" applyFont="1" applyAlignment="1">
      <alignment horizontal="right"/>
    </xf>
    <xf numFmtId="2" fontId="34" fillId="0" borderId="0" xfId="12" applyNumberFormat="1" applyFont="1" applyProtection="1">
      <protection locked="0"/>
    </xf>
    <xf numFmtId="2" fontId="34" fillId="0" borderId="10" xfId="12" applyNumberFormat="1" applyFont="1" applyBorder="1" applyAlignment="1" applyProtection="1">
      <alignment horizontal="center" vertical="center" wrapText="1"/>
      <protection locked="0"/>
    </xf>
    <xf numFmtId="2" fontId="34" fillId="0" borderId="11" xfId="12" applyNumberFormat="1" applyFont="1" applyBorder="1" applyAlignment="1" applyProtection="1">
      <alignment horizontal="center" vertical="center" wrapText="1"/>
      <protection locked="0"/>
    </xf>
    <xf numFmtId="2" fontId="34" fillId="0" borderId="12" xfId="12" applyNumberFormat="1" applyFont="1" applyBorder="1" applyAlignment="1" applyProtection="1">
      <alignment horizontal="center" vertical="center" wrapText="1"/>
      <protection locked="0"/>
    </xf>
    <xf numFmtId="0" fontId="34" fillId="0" borderId="0" xfId="12" applyFont="1" applyAlignment="1">
      <alignment horizontal="center"/>
    </xf>
    <xf numFmtId="0" fontId="36" fillId="2" borderId="7" xfId="12" applyFont="1" applyFill="1" applyBorder="1" applyProtection="1">
      <protection locked="0"/>
    </xf>
    <xf numFmtId="4" fontId="35" fillId="0" borderId="8" xfId="12" applyNumberFormat="1" applyFont="1" applyBorder="1" applyAlignment="1" applyProtection="1">
      <alignment horizontal="center"/>
      <protection locked="0"/>
    </xf>
    <xf numFmtId="4" fontId="34" fillId="0" borderId="8" xfId="12" applyNumberFormat="1" applyFont="1" applyBorder="1" applyProtection="1">
      <protection locked="0"/>
    </xf>
    <xf numFmtId="4" fontId="35" fillId="0" borderId="8" xfId="12" applyNumberFormat="1" applyFont="1" applyBorder="1" applyProtection="1">
      <protection locked="0"/>
    </xf>
    <xf numFmtId="3" fontId="34" fillId="0" borderId="8" xfId="8" applyNumberFormat="1" applyFont="1" applyBorder="1" applyAlignment="1" applyProtection="1">
      <alignment horizontal="center"/>
      <protection locked="0"/>
    </xf>
    <xf numFmtId="4" fontId="34" fillId="0" borderId="8" xfId="12" applyNumberFormat="1" applyFont="1" applyBorder="1" applyAlignment="1" applyProtection="1">
      <alignment horizontal="center"/>
      <protection locked="0"/>
    </xf>
    <xf numFmtId="4" fontId="35" fillId="2" borderId="8" xfId="12" applyNumberFormat="1" applyFont="1" applyFill="1" applyBorder="1" applyAlignment="1" applyProtection="1">
      <alignment horizontal="center"/>
      <protection locked="0"/>
    </xf>
    <xf numFmtId="4" fontId="34" fillId="2" borderId="8" xfId="12" applyNumberFormat="1" applyFont="1" applyFill="1" applyBorder="1" applyProtection="1">
      <protection locked="0"/>
    </xf>
    <xf numFmtId="4" fontId="35" fillId="2" borderId="8" xfId="12" applyNumberFormat="1" applyFont="1" applyFill="1" applyBorder="1" applyProtection="1">
      <protection locked="0"/>
    </xf>
    <xf numFmtId="165" fontId="34" fillId="2" borderId="8" xfId="4" applyNumberFormat="1" applyFont="1" applyFill="1" applyBorder="1" applyProtection="1">
      <protection locked="0"/>
    </xf>
    <xf numFmtId="4" fontId="35" fillId="2" borderId="8" xfId="12" applyNumberFormat="1" applyFont="1" applyFill="1" applyBorder="1" applyAlignment="1" applyProtection="1">
      <alignment horizontal="right"/>
      <protection locked="0"/>
    </xf>
    <xf numFmtId="2" fontId="34" fillId="0" borderId="8" xfId="12" applyNumberFormat="1" applyFont="1" applyBorder="1" applyProtection="1">
      <protection locked="0"/>
    </xf>
    <xf numFmtId="0" fontId="34" fillId="2" borderId="4" xfId="12" applyFont="1" applyFill="1" applyBorder="1" applyAlignment="1" applyProtection="1">
      <alignment horizontal="left"/>
      <protection locked="0"/>
    </xf>
    <xf numFmtId="43" fontId="34" fillId="0" borderId="4" xfId="4" applyNumberFormat="1" applyFont="1" applyBorder="1" applyAlignment="1" applyProtection="1">
      <alignment horizontal="center"/>
      <protection locked="0"/>
    </xf>
    <xf numFmtId="3" fontId="34" fillId="0" borderId="4" xfId="12" applyNumberFormat="1" applyFont="1" applyBorder="1" applyAlignment="1" applyProtection="1">
      <alignment horizontal="right"/>
      <protection locked="0"/>
    </xf>
    <xf numFmtId="4" fontId="34" fillId="0" borderId="4" xfId="12" applyNumberFormat="1" applyFont="1" applyBorder="1" applyAlignment="1" applyProtection="1">
      <alignment horizontal="center"/>
      <protection locked="0"/>
    </xf>
    <xf numFmtId="4" fontId="34" fillId="0" borderId="4" xfId="12" applyNumberFormat="1" applyFont="1" applyBorder="1" applyAlignment="1" applyProtection="1">
      <alignment horizontal="right"/>
      <protection locked="0"/>
    </xf>
    <xf numFmtId="43" fontId="34" fillId="2" borderId="4" xfId="4" applyNumberFormat="1" applyFont="1" applyFill="1" applyBorder="1" applyAlignment="1" applyProtection="1">
      <alignment horizontal="center"/>
      <protection locked="0"/>
    </xf>
    <xf numFmtId="165" fontId="34" fillId="2" borderId="4" xfId="4" applyNumberFormat="1" applyFont="1" applyFill="1" applyBorder="1" applyAlignment="1" applyProtection="1">
      <alignment horizontal="center"/>
      <protection locked="0"/>
    </xf>
    <xf numFmtId="43" fontId="34" fillId="2" borderId="4" xfId="12" applyNumberFormat="1" applyFont="1" applyFill="1" applyBorder="1" applyAlignment="1" applyProtection="1">
      <alignment horizontal="right"/>
      <protection locked="0"/>
    </xf>
    <xf numFmtId="2" fontId="34" fillId="0" borderId="4" xfId="12" applyNumberFormat="1" applyFont="1" applyBorder="1" applyProtection="1">
      <protection locked="0"/>
    </xf>
    <xf numFmtId="43" fontId="34" fillId="0" borderId="4" xfId="4" applyNumberFormat="1" applyFont="1" applyBorder="1" applyProtection="1">
      <protection locked="0"/>
    </xf>
    <xf numFmtId="4" fontId="34" fillId="0" borderId="4" xfId="12" applyNumberFormat="1" applyFont="1" applyBorder="1" applyProtection="1">
      <protection locked="0"/>
    </xf>
    <xf numFmtId="0" fontId="34" fillId="0" borderId="4" xfId="0" applyFont="1" applyBorder="1" applyAlignment="1">
      <alignment horizontal="left"/>
    </xf>
    <xf numFmtId="0" fontId="36" fillId="0" borderId="4" xfId="12" applyFont="1" applyBorder="1" applyProtection="1">
      <protection locked="0"/>
    </xf>
    <xf numFmtId="43" fontId="34" fillId="0" borderId="4" xfId="4" applyNumberFormat="1" applyFont="1" applyFill="1" applyBorder="1"/>
    <xf numFmtId="43" fontId="34" fillId="0" borderId="0" xfId="12" applyNumberFormat="1" applyFont="1"/>
    <xf numFmtId="43" fontId="34" fillId="0" borderId="0" xfId="12" applyNumberFormat="1" applyFont="1" applyProtection="1">
      <protection locked="0"/>
    </xf>
    <xf numFmtId="0" fontId="34" fillId="0" borderId="4" xfId="12" applyFont="1" applyBorder="1" applyProtection="1">
      <protection locked="0"/>
    </xf>
    <xf numFmtId="43" fontId="34" fillId="0" borderId="4" xfId="4" applyNumberFormat="1" applyFont="1" applyFill="1" applyBorder="1" applyProtection="1">
      <protection locked="0"/>
    </xf>
    <xf numFmtId="0" fontId="34" fillId="0" borderId="4" xfId="12" applyFont="1" applyBorder="1"/>
    <xf numFmtId="0" fontId="34" fillId="0" borderId="9" xfId="12" applyFont="1" applyBorder="1"/>
    <xf numFmtId="43" fontId="34" fillId="0" borderId="9" xfId="4" applyNumberFormat="1" applyFont="1" applyFill="1" applyBorder="1"/>
    <xf numFmtId="43" fontId="34" fillId="0" borderId="9" xfId="4" applyNumberFormat="1" applyFont="1" applyFill="1" applyBorder="1" applyProtection="1">
      <protection locked="0"/>
    </xf>
    <xf numFmtId="4" fontId="34" fillId="0" borderId="9" xfId="12" applyNumberFormat="1" applyFont="1" applyBorder="1" applyAlignment="1" applyProtection="1">
      <alignment horizontal="center"/>
      <protection locked="0"/>
    </xf>
    <xf numFmtId="0" fontId="34" fillId="0" borderId="6" xfId="12" applyFont="1" applyBorder="1"/>
    <xf numFmtId="43" fontId="34" fillId="0" borderId="6" xfId="4" applyNumberFormat="1" applyFont="1" applyFill="1" applyBorder="1"/>
    <xf numFmtId="43" fontId="34" fillId="0" borderId="6" xfId="4" applyNumberFormat="1" applyFont="1" applyFill="1" applyBorder="1" applyProtection="1">
      <protection locked="0"/>
    </xf>
    <xf numFmtId="4" fontId="34" fillId="0" borderId="6" xfId="12" applyNumberFormat="1" applyFont="1" applyBorder="1" applyAlignment="1" applyProtection="1">
      <alignment horizontal="center"/>
      <protection locked="0"/>
    </xf>
    <xf numFmtId="2" fontId="34" fillId="0" borderId="6" xfId="12" applyNumberFormat="1" applyFont="1" applyBorder="1" applyProtection="1">
      <protection locked="0"/>
    </xf>
    <xf numFmtId="0" fontId="35" fillId="2" borderId="13" xfId="12" applyFont="1" applyFill="1" applyBorder="1" applyAlignment="1">
      <alignment horizontal="center"/>
    </xf>
    <xf numFmtId="43" fontId="35" fillId="2" borderId="13" xfId="4" applyNumberFormat="1" applyFont="1" applyFill="1" applyBorder="1" applyAlignment="1">
      <alignment horizontal="right"/>
    </xf>
    <xf numFmtId="3" fontId="35" fillId="0" borderId="13" xfId="12" applyNumberFormat="1" applyFont="1" applyBorder="1"/>
    <xf numFmtId="4" fontId="35" fillId="0" borderId="13" xfId="12" applyNumberFormat="1" applyFont="1" applyBorder="1" applyAlignment="1">
      <alignment horizontal="center"/>
    </xf>
    <xf numFmtId="43" fontId="35" fillId="2" borderId="13" xfId="4" applyNumberFormat="1" applyFont="1" applyFill="1" applyBorder="1"/>
    <xf numFmtId="165" fontId="35" fillId="2" borderId="13" xfId="4" applyNumberFormat="1" applyFont="1" applyFill="1" applyBorder="1"/>
    <xf numFmtId="4" fontId="35" fillId="2" borderId="13" xfId="8" applyNumberFormat="1" applyFont="1" applyFill="1" applyBorder="1"/>
    <xf numFmtId="4" fontId="35" fillId="2" borderId="13" xfId="8" applyNumberFormat="1" applyFont="1" applyFill="1" applyBorder="1" applyAlignment="1">
      <alignment horizontal="right"/>
    </xf>
    <xf numFmtId="2" fontId="35" fillId="0" borderId="14" xfId="12" applyNumberFormat="1" applyFont="1" applyBorder="1"/>
    <xf numFmtId="2" fontId="35" fillId="0" borderId="13" xfId="12" applyNumberFormat="1" applyFont="1" applyBorder="1"/>
    <xf numFmtId="0" fontId="35" fillId="0" borderId="0" xfId="12" applyFont="1"/>
    <xf numFmtId="4" fontId="35" fillId="0" borderId="0" xfId="12" applyNumberFormat="1" applyFont="1"/>
    <xf numFmtId="3" fontId="34" fillId="0" borderId="0" xfId="8" applyNumberFormat="1" applyFont="1" applyAlignment="1">
      <alignment horizontal="center"/>
    </xf>
    <xf numFmtId="4" fontId="34" fillId="0" borderId="0" xfId="12" applyNumberFormat="1" applyFont="1" applyAlignment="1">
      <alignment horizontal="center"/>
    </xf>
    <xf numFmtId="2" fontId="34" fillId="0" borderId="0" xfId="12" applyNumberFormat="1" applyFont="1"/>
    <xf numFmtId="0" fontId="31" fillId="0" borderId="15" xfId="12" applyFont="1" applyBorder="1"/>
    <xf numFmtId="0" fontId="34" fillId="2" borderId="15" xfId="12" applyFont="1" applyFill="1" applyBorder="1"/>
    <xf numFmtId="0" fontId="35" fillId="2" borderId="15" xfId="12" applyFont="1" applyFill="1" applyBorder="1"/>
    <xf numFmtId="165" fontId="34" fillId="2" borderId="15" xfId="4" applyNumberFormat="1" applyFont="1" applyFill="1" applyBorder="1" applyAlignment="1">
      <alignment horizontal="center" vertical="center"/>
    </xf>
    <xf numFmtId="0" fontId="34" fillId="0" borderId="15" xfId="12" applyFont="1" applyBorder="1"/>
    <xf numFmtId="165" fontId="34" fillId="0" borderId="15" xfId="4" applyNumberFormat="1" applyFont="1" applyBorder="1" applyAlignment="1">
      <alignment horizontal="left" indent="2"/>
    </xf>
    <xf numFmtId="0" fontId="35" fillId="0" borderId="10" xfId="12" applyFont="1" applyBorder="1" applyAlignment="1">
      <alignment horizontal="center" vertical="center" wrapText="1"/>
    </xf>
    <xf numFmtId="0" fontId="35" fillId="0" borderId="11" xfId="12" applyFont="1" applyBorder="1" applyAlignment="1">
      <alignment horizontal="center" vertical="center" wrapText="1"/>
    </xf>
    <xf numFmtId="0" fontId="35" fillId="0" borderId="12" xfId="12" applyFont="1" applyBorder="1" applyAlignment="1">
      <alignment horizontal="center" vertical="center" wrapText="1"/>
    </xf>
    <xf numFmtId="0" fontId="25" fillId="0" borderId="8" xfId="11" applyFont="1" applyBorder="1"/>
    <xf numFmtId="164" fontId="25" fillId="2" borderId="8" xfId="8" applyFont="1" applyFill="1" applyBorder="1" applyAlignment="1">
      <alignment horizontal="center"/>
    </xf>
    <xf numFmtId="164" fontId="25" fillId="2" borderId="8" xfId="8" applyFont="1" applyFill="1" applyBorder="1"/>
    <xf numFmtId="165" fontId="25" fillId="2" borderId="8" xfId="4" applyNumberFormat="1" applyFont="1" applyFill="1" applyBorder="1" applyAlignment="1">
      <alignment horizontal="center" vertical="center"/>
    </xf>
    <xf numFmtId="0" fontId="25" fillId="2" borderId="8" xfId="12" applyFont="1" applyFill="1" applyBorder="1" applyAlignment="1">
      <alignment horizontal="center"/>
    </xf>
    <xf numFmtId="164" fontId="34" fillId="0" borderId="8" xfId="8" applyFont="1" applyBorder="1"/>
    <xf numFmtId="165" fontId="34" fillId="0" borderId="8" xfId="4" applyNumberFormat="1" applyFont="1" applyBorder="1" applyAlignment="1">
      <alignment horizontal="left" indent="2"/>
    </xf>
    <xf numFmtId="0" fontId="34" fillId="0" borderId="8" xfId="12" applyFont="1" applyBorder="1" applyAlignment="1">
      <alignment horizontal="center"/>
    </xf>
    <xf numFmtId="43" fontId="34" fillId="0" borderId="8" xfId="1" applyFont="1" applyBorder="1"/>
    <xf numFmtId="43" fontId="34" fillId="0" borderId="8" xfId="12" applyNumberFormat="1" applyFont="1" applyBorder="1"/>
    <xf numFmtId="0" fontId="25" fillId="0" borderId="4" xfId="11" applyFont="1" applyBorder="1"/>
    <xf numFmtId="164" fontId="25" fillId="2" borderId="4" xfId="8" applyFont="1" applyFill="1" applyBorder="1" applyAlignment="1">
      <alignment horizontal="center"/>
    </xf>
    <xf numFmtId="164" fontId="25" fillId="2" borderId="4" xfId="8" applyFont="1" applyFill="1" applyBorder="1"/>
    <xf numFmtId="165" fontId="25" fillId="2" borderId="4" xfId="4" applyNumberFormat="1" applyFont="1" applyFill="1" applyBorder="1" applyAlignment="1">
      <alignment horizontal="center" vertical="center"/>
    </xf>
    <xf numFmtId="0" fontId="25" fillId="2" borderId="4" xfId="12" applyFont="1" applyFill="1" applyBorder="1" applyAlignment="1">
      <alignment horizontal="center"/>
    </xf>
    <xf numFmtId="164" fontId="34" fillId="0" borderId="4" xfId="8" applyFont="1" applyBorder="1"/>
    <xf numFmtId="165" fontId="34" fillId="0" borderId="4" xfId="4" applyNumberFormat="1" applyFont="1" applyBorder="1" applyAlignment="1">
      <alignment horizontal="left" indent="2"/>
    </xf>
    <xf numFmtId="43" fontId="34" fillId="0" borderId="4" xfId="1" applyFont="1" applyBorder="1"/>
    <xf numFmtId="43" fontId="34" fillId="0" borderId="4" xfId="12" applyNumberFormat="1" applyFont="1" applyBorder="1"/>
    <xf numFmtId="43" fontId="25" fillId="2" borderId="6" xfId="12" applyNumberFormat="1" applyFont="1" applyFill="1" applyBorder="1"/>
    <xf numFmtId="165" fontId="25" fillId="2" borderId="6" xfId="4" applyNumberFormat="1" applyFont="1" applyFill="1" applyBorder="1" applyAlignment="1">
      <alignment horizontal="center" vertical="center"/>
    </xf>
    <xf numFmtId="0" fontId="25" fillId="2" borderId="6" xfId="12" applyFont="1" applyFill="1" applyBorder="1" applyAlignment="1">
      <alignment horizontal="center"/>
    </xf>
    <xf numFmtId="0" fontId="34" fillId="0" borderId="6" xfId="12" applyFont="1" applyBorder="1" applyAlignment="1">
      <alignment horizontal="center"/>
    </xf>
    <xf numFmtId="164" fontId="24" fillId="2" borderId="2" xfId="12" applyNumberFormat="1" applyFont="1" applyFill="1" applyBorder="1"/>
    <xf numFmtId="164" fontId="25" fillId="2" borderId="0" xfId="12" applyNumberFormat="1" applyFont="1" applyFill="1"/>
    <xf numFmtId="164" fontId="24" fillId="2" borderId="0" xfId="12" applyNumberFormat="1" applyFont="1" applyFill="1"/>
    <xf numFmtId="165" fontId="25" fillId="2" borderId="0" xfId="4" applyNumberFormat="1" applyFont="1" applyFill="1" applyAlignment="1">
      <alignment horizontal="center" vertical="center"/>
    </xf>
    <xf numFmtId="0" fontId="25" fillId="2" borderId="0" xfId="12" applyFont="1" applyFill="1"/>
    <xf numFmtId="165" fontId="25" fillId="0" borderId="0" xfId="4" applyNumberFormat="1" applyFont="1" applyAlignment="1">
      <alignment horizontal="left" indent="2"/>
    </xf>
    <xf numFmtId="165" fontId="25" fillId="0" borderId="0" xfId="4" applyNumberFormat="1" applyFont="1" applyAlignment="1">
      <alignment horizontal="center" vertical="center"/>
    </xf>
    <xf numFmtId="165" fontId="25" fillId="2" borderId="0" xfId="4" applyNumberFormat="1" applyFont="1" applyFill="1" applyAlignment="1">
      <alignment horizontal="left" indent="2"/>
    </xf>
    <xf numFmtId="0" fontId="37" fillId="0" borderId="0" xfId="12" applyFont="1"/>
    <xf numFmtId="0" fontId="37" fillId="2" borderId="0" xfId="12" applyFont="1" applyFill="1"/>
    <xf numFmtId="0" fontId="24" fillId="2" borderId="0" xfId="12" applyFont="1" applyFill="1"/>
    <xf numFmtId="165" fontId="25" fillId="2" borderId="10" xfId="4" applyNumberFormat="1" applyFont="1" applyFill="1" applyBorder="1" applyAlignment="1">
      <alignment horizontal="center" vertical="center"/>
    </xf>
    <xf numFmtId="0" fontId="25" fillId="0" borderId="6" xfId="11" applyFont="1" applyBorder="1"/>
    <xf numFmtId="164" fontId="25" fillId="2" borderId="6" xfId="8" applyFont="1" applyFill="1" applyBorder="1" applyAlignment="1">
      <alignment horizontal="center"/>
    </xf>
    <xf numFmtId="164" fontId="24" fillId="2" borderId="13" xfId="12" applyNumberFormat="1" applyFont="1" applyFill="1" applyBorder="1"/>
    <xf numFmtId="4" fontId="19" fillId="2" borderId="15" xfId="12" applyNumberFormat="1" applyFont="1" applyFill="1" applyBorder="1"/>
    <xf numFmtId="4" fontId="18" fillId="2" borderId="15" xfId="12" applyNumberFormat="1" applyFont="1" applyFill="1" applyBorder="1"/>
    <xf numFmtId="165" fontId="19" fillId="2" borderId="15" xfId="4" applyNumberFormat="1" applyFont="1" applyFill="1" applyBorder="1" applyAlignment="1">
      <alignment horizontal="center" vertical="center"/>
    </xf>
    <xf numFmtId="4" fontId="18" fillId="0" borderId="15" xfId="12" applyNumberFormat="1" applyFont="1" applyBorder="1"/>
    <xf numFmtId="4" fontId="19" fillId="0" borderId="15" xfId="12" applyNumberFormat="1" applyFont="1" applyBorder="1"/>
    <xf numFmtId="165" fontId="19" fillId="0" borderId="15" xfId="4" applyNumberFormat="1" applyFont="1" applyBorder="1" applyAlignment="1">
      <alignment horizontal="left" indent="2"/>
    </xf>
    <xf numFmtId="0" fontId="19" fillId="0" borderId="15" xfId="12" applyFont="1" applyBorder="1"/>
    <xf numFmtId="0" fontId="18" fillId="0" borderId="10" xfId="12" applyFont="1" applyBorder="1" applyAlignment="1">
      <alignment horizontal="center" vertical="center" wrapText="1"/>
    </xf>
    <xf numFmtId="0" fontId="18" fillId="0" borderId="11" xfId="12" applyFont="1" applyBorder="1" applyAlignment="1">
      <alignment horizontal="center" vertical="center" wrapText="1"/>
    </xf>
    <xf numFmtId="0" fontId="19" fillId="0" borderId="8" xfId="11" applyFont="1" applyBorder="1"/>
    <xf numFmtId="43" fontId="19" fillId="2" borderId="8" xfId="4" applyNumberFormat="1" applyFont="1" applyFill="1" applyBorder="1" applyAlignment="1" applyProtection="1">
      <alignment horizontal="center" vertical="center" wrapText="1"/>
      <protection locked="0"/>
    </xf>
    <xf numFmtId="43" fontId="19" fillId="2" borderId="8" xfId="4" applyNumberFormat="1" applyFont="1" applyFill="1" applyBorder="1" applyAlignment="1">
      <alignment horizontal="center" vertical="center" wrapText="1"/>
    </xf>
    <xf numFmtId="43" fontId="18" fillId="2" borderId="8" xfId="4" applyNumberFormat="1" applyFont="1" applyFill="1" applyBorder="1" applyAlignment="1">
      <alignment horizontal="center" vertical="center" wrapText="1"/>
    </xf>
    <xf numFmtId="165" fontId="19" fillId="2" borderId="8" xfId="4" applyNumberFormat="1" applyFont="1" applyFill="1" applyBorder="1" applyAlignment="1">
      <alignment horizontal="center" vertical="center" wrapText="1"/>
    </xf>
    <xf numFmtId="4" fontId="19" fillId="2" borderId="8" xfId="12" applyNumberFormat="1" applyFont="1" applyFill="1" applyBorder="1" applyAlignment="1">
      <alignment horizontal="center" vertical="center" wrapText="1"/>
    </xf>
    <xf numFmtId="43" fontId="19" fillId="0" borderId="8" xfId="4" applyNumberFormat="1" applyFont="1" applyBorder="1" applyAlignment="1" applyProtection="1">
      <alignment horizontal="center" vertical="center" wrapText="1"/>
      <protection locked="0"/>
    </xf>
    <xf numFmtId="43" fontId="19" fillId="0" borderId="8" xfId="4" applyNumberFormat="1" applyFont="1" applyBorder="1" applyAlignment="1">
      <alignment horizontal="center" vertical="center" wrapText="1"/>
    </xf>
    <xf numFmtId="165" fontId="19" fillId="0" borderId="8" xfId="4" applyNumberFormat="1" applyFont="1" applyBorder="1" applyAlignment="1">
      <alignment horizontal="left" vertical="center" wrapText="1" indent="2"/>
    </xf>
    <xf numFmtId="4" fontId="19" fillId="0" borderId="8" xfId="12" applyNumberFormat="1" applyFont="1" applyBorder="1" applyAlignment="1">
      <alignment horizontal="center" vertical="center" wrapText="1"/>
    </xf>
    <xf numFmtId="43" fontId="19" fillId="0" borderId="8" xfId="12" applyNumberFormat="1" applyFont="1" applyBorder="1"/>
    <xf numFmtId="0" fontId="19" fillId="0" borderId="4" xfId="11" applyFont="1" applyBorder="1"/>
    <xf numFmtId="43" fontId="19" fillId="2" borderId="4" xfId="4" applyNumberFormat="1" applyFont="1" applyFill="1" applyBorder="1" applyAlignment="1" applyProtection="1">
      <alignment horizontal="center" vertical="center" wrapText="1"/>
      <protection locked="0"/>
    </xf>
    <xf numFmtId="43" fontId="19" fillId="2" borderId="4" xfId="4" applyNumberFormat="1" applyFont="1" applyFill="1" applyBorder="1" applyAlignment="1">
      <alignment horizontal="center" vertical="center" wrapText="1"/>
    </xf>
    <xf numFmtId="43" fontId="18" fillId="2" borderId="4" xfId="4" applyNumberFormat="1" applyFont="1" applyFill="1" applyBorder="1" applyAlignment="1">
      <alignment horizontal="center" vertical="center" wrapText="1"/>
    </xf>
    <xf numFmtId="165" fontId="19" fillId="2" borderId="4" xfId="4" applyNumberFormat="1" applyFont="1" applyFill="1" applyBorder="1" applyAlignment="1">
      <alignment horizontal="center" vertical="center" wrapText="1"/>
    </xf>
    <xf numFmtId="4" fontId="19" fillId="2" borderId="4" xfId="12" applyNumberFormat="1" applyFont="1" applyFill="1" applyBorder="1" applyAlignment="1">
      <alignment horizontal="center" vertical="center" wrapText="1"/>
    </xf>
    <xf numFmtId="43" fontId="19" fillId="0" borderId="4" xfId="4" applyNumberFormat="1" applyFont="1" applyBorder="1" applyAlignment="1" applyProtection="1">
      <alignment horizontal="center" vertical="center" wrapText="1"/>
      <protection locked="0"/>
    </xf>
    <xf numFmtId="43" fontId="19" fillId="0" borderId="4" xfId="4" applyNumberFormat="1" applyFont="1" applyBorder="1" applyAlignment="1">
      <alignment horizontal="center" vertical="center" wrapText="1"/>
    </xf>
    <xf numFmtId="165" fontId="19" fillId="0" borderId="4" xfId="4" applyNumberFormat="1" applyFont="1" applyBorder="1" applyAlignment="1">
      <alignment horizontal="left" vertical="center" wrapText="1" indent="2"/>
    </xf>
    <xf numFmtId="4" fontId="19" fillId="0" borderId="4" xfId="12" applyNumberFormat="1" applyFont="1" applyBorder="1" applyAlignment="1">
      <alignment horizontal="center" vertical="center" wrapText="1"/>
    </xf>
    <xf numFmtId="43" fontId="19" fillId="0" borderId="4" xfId="12" applyNumberFormat="1" applyFont="1" applyBorder="1"/>
    <xf numFmtId="0" fontId="18" fillId="0" borderId="4" xfId="12" applyFont="1" applyBorder="1" applyAlignment="1">
      <alignment horizontal="center" vertical="center" wrapText="1"/>
    </xf>
    <xf numFmtId="43" fontId="19" fillId="2" borderId="4" xfId="4" applyNumberFormat="1" applyFont="1" applyFill="1" applyBorder="1" applyAlignment="1">
      <alignment horizontal="center"/>
    </xf>
    <xf numFmtId="43" fontId="19" fillId="2" borderId="4" xfId="4" applyNumberFormat="1" applyFont="1" applyFill="1" applyBorder="1"/>
    <xf numFmtId="165" fontId="19" fillId="2" borderId="4" xfId="4" applyNumberFormat="1" applyFont="1" applyFill="1" applyBorder="1" applyAlignment="1">
      <alignment horizontal="center" vertical="center"/>
    </xf>
    <xf numFmtId="4" fontId="19" fillId="2" borderId="4" xfId="12" applyNumberFormat="1" applyFont="1" applyFill="1" applyBorder="1" applyAlignment="1">
      <alignment horizontal="center"/>
    </xf>
    <xf numFmtId="43" fontId="19" fillId="0" borderId="4" xfId="4" applyNumberFormat="1" applyFont="1" applyBorder="1"/>
    <xf numFmtId="165" fontId="19" fillId="0" borderId="4" xfId="4" applyNumberFormat="1" applyFont="1" applyBorder="1" applyAlignment="1">
      <alignment horizontal="left" indent="2"/>
    </xf>
    <xf numFmtId="4" fontId="19" fillId="0" borderId="4" xfId="8" applyNumberFormat="1" applyFont="1" applyBorder="1"/>
    <xf numFmtId="0" fontId="19" fillId="0" borderId="6" xfId="11" applyFont="1" applyBorder="1"/>
    <xf numFmtId="43" fontId="19" fillId="2" borderId="6" xfId="4" applyNumberFormat="1" applyFont="1" applyFill="1" applyBorder="1" applyAlignment="1">
      <alignment horizontal="center"/>
    </xf>
    <xf numFmtId="43" fontId="19" fillId="2" borderId="6" xfId="4" applyNumberFormat="1" applyFont="1" applyFill="1" applyBorder="1"/>
    <xf numFmtId="165" fontId="19" fillId="2" borderId="6" xfId="4" applyNumberFormat="1" applyFont="1" applyFill="1" applyBorder="1" applyAlignment="1">
      <alignment horizontal="center" vertical="center"/>
    </xf>
    <xf numFmtId="4" fontId="19" fillId="2" borderId="6" xfId="12" applyNumberFormat="1" applyFont="1" applyFill="1" applyBorder="1" applyAlignment="1">
      <alignment horizontal="center"/>
    </xf>
    <xf numFmtId="43" fontId="19" fillId="0" borderId="6" xfId="4" applyNumberFormat="1" applyFont="1" applyBorder="1"/>
    <xf numFmtId="165" fontId="19" fillId="0" borderId="6" xfId="4" applyNumberFormat="1" applyFont="1" applyBorder="1" applyAlignment="1">
      <alignment horizontal="left" indent="2"/>
    </xf>
    <xf numFmtId="4" fontId="19" fillId="0" borderId="6" xfId="12" applyNumberFormat="1" applyFont="1" applyBorder="1" applyAlignment="1">
      <alignment horizontal="center"/>
    </xf>
    <xf numFmtId="4" fontId="19" fillId="0" borderId="6" xfId="8" applyNumberFormat="1" applyFont="1" applyBorder="1"/>
    <xf numFmtId="43" fontId="19" fillId="0" borderId="6" xfId="12" applyNumberFormat="1" applyFont="1" applyBorder="1"/>
    <xf numFmtId="43" fontId="18" fillId="2" borderId="2" xfId="4" applyNumberFormat="1" applyFont="1" applyFill="1" applyBorder="1"/>
    <xf numFmtId="165" fontId="18" fillId="2" borderId="2" xfId="4" applyNumberFormat="1" applyFont="1" applyFill="1" applyBorder="1"/>
    <xf numFmtId="4" fontId="18" fillId="2" borderId="2" xfId="12" applyNumberFormat="1" applyFont="1" applyFill="1" applyBorder="1"/>
    <xf numFmtId="0" fontId="19" fillId="0" borderId="53" xfId="12" applyFont="1" applyBorder="1"/>
    <xf numFmtId="4" fontId="19" fillId="2" borderId="53" xfId="12" applyNumberFormat="1" applyFont="1" applyFill="1" applyBorder="1"/>
    <xf numFmtId="4" fontId="18" fillId="2" borderId="53" xfId="12" applyNumberFormat="1" applyFont="1" applyFill="1" applyBorder="1"/>
    <xf numFmtId="165" fontId="19" fillId="2" borderId="53" xfId="4" applyNumberFormat="1" applyFont="1" applyFill="1" applyBorder="1" applyAlignment="1">
      <alignment horizontal="center" vertical="center"/>
    </xf>
    <xf numFmtId="4" fontId="19" fillId="0" borderId="53" xfId="12" applyNumberFormat="1" applyFont="1" applyBorder="1"/>
    <xf numFmtId="4" fontId="19" fillId="0" borderId="0" xfId="12" applyNumberFormat="1" applyFont="1"/>
    <xf numFmtId="165" fontId="19" fillId="0" borderId="0" xfId="4" applyNumberFormat="1" applyFont="1" applyAlignment="1">
      <alignment horizontal="left" indent="2"/>
    </xf>
    <xf numFmtId="4" fontId="25" fillId="2" borderId="0" xfId="12" applyNumberFormat="1" applyFont="1" applyFill="1"/>
    <xf numFmtId="4" fontId="24" fillId="2" borderId="0" xfId="12" applyNumberFormat="1" applyFont="1" applyFill="1"/>
    <xf numFmtId="165" fontId="25" fillId="2" borderId="0" xfId="4" applyNumberFormat="1" applyFont="1" applyFill="1" applyBorder="1" applyAlignment="1">
      <alignment horizontal="center" vertical="center"/>
    </xf>
    <xf numFmtId="4" fontId="25" fillId="0" borderId="0" xfId="12" applyNumberFormat="1" applyFont="1"/>
    <xf numFmtId="4" fontId="19" fillId="2" borderId="0" xfId="12" applyNumberFormat="1" applyFont="1" applyFill="1"/>
    <xf numFmtId="4" fontId="18" fillId="2" borderId="0" xfId="12" applyNumberFormat="1" applyFont="1" applyFill="1"/>
    <xf numFmtId="165" fontId="19" fillId="2" borderId="0" xfId="4" applyNumberFormat="1" applyFont="1" applyFill="1" applyBorder="1" applyAlignment="1">
      <alignment horizontal="center" vertical="center"/>
    </xf>
    <xf numFmtId="165" fontId="19" fillId="2" borderId="0" xfId="4" applyNumberFormat="1" applyFont="1" applyFill="1" applyAlignment="1">
      <alignment horizontal="center" vertical="center"/>
    </xf>
    <xf numFmtId="0" fontId="31" fillId="2" borderId="0" xfId="12" applyFont="1" applyFill="1" applyAlignment="1">
      <alignment horizontal="center"/>
    </xf>
    <xf numFmtId="0" fontId="35" fillId="2" borderId="0" xfId="12" applyFont="1" applyFill="1"/>
    <xf numFmtId="0" fontId="35" fillId="0" borderId="10" xfId="12" applyFont="1" applyBorder="1" applyAlignment="1">
      <alignment horizontal="center"/>
    </xf>
    <xf numFmtId="0" fontId="35" fillId="0" borderId="11" xfId="12" applyFont="1" applyBorder="1" applyAlignment="1">
      <alignment horizontal="center"/>
    </xf>
    <xf numFmtId="0" fontId="35" fillId="0" borderId="12" xfId="12" applyFont="1" applyBorder="1"/>
    <xf numFmtId="0" fontId="35" fillId="0" borderId="12" xfId="12" applyFont="1" applyBorder="1" applyAlignment="1">
      <alignment horizontal="center"/>
    </xf>
    <xf numFmtId="0" fontId="36" fillId="0" borderId="8" xfId="10" applyFont="1" applyBorder="1" applyAlignment="1">
      <alignment horizontal="center"/>
    </xf>
    <xf numFmtId="43" fontId="34" fillId="0" borderId="8" xfId="4" applyNumberFormat="1" applyFont="1" applyFill="1" applyBorder="1" applyAlignment="1"/>
    <xf numFmtId="0" fontId="34" fillId="0" borderId="8" xfId="12" applyFont="1" applyBorder="1"/>
    <xf numFmtId="0" fontId="34" fillId="2" borderId="8" xfId="12" applyFont="1" applyFill="1" applyBorder="1"/>
    <xf numFmtId="0" fontId="35" fillId="0" borderId="8" xfId="12" applyFont="1" applyBorder="1" applyAlignment="1">
      <alignment horizontal="center"/>
    </xf>
    <xf numFmtId="0" fontId="36" fillId="0" borderId="8" xfId="10" applyFont="1" applyBorder="1"/>
    <xf numFmtId="0" fontId="35" fillId="0" borderId="8" xfId="12" applyFont="1" applyBorder="1"/>
    <xf numFmtId="0" fontId="34" fillId="0" borderId="4" xfId="10" applyFont="1" applyBorder="1"/>
    <xf numFmtId="43" fontId="34" fillId="0" borderId="4" xfId="4" applyNumberFormat="1" applyFont="1" applyFill="1" applyBorder="1" applyAlignment="1"/>
    <xf numFmtId="164" fontId="34" fillId="2" borderId="4" xfId="8" applyFont="1" applyFill="1" applyBorder="1"/>
    <xf numFmtId="164" fontId="35" fillId="0" borderId="4" xfId="12" applyNumberFormat="1" applyFont="1" applyBorder="1" applyAlignment="1">
      <alignment horizontal="center"/>
    </xf>
    <xf numFmtId="43" fontId="35" fillId="0" borderId="4" xfId="12" applyNumberFormat="1" applyFont="1" applyBorder="1"/>
    <xf numFmtId="164" fontId="34" fillId="0" borderId="4" xfId="8" applyFont="1" applyFill="1" applyBorder="1"/>
    <xf numFmtId="0" fontId="34" fillId="0" borderId="4" xfId="10" applyFont="1" applyBorder="1" applyAlignment="1">
      <alignment horizontal="left" wrapText="1"/>
    </xf>
    <xf numFmtId="0" fontId="34" fillId="0" borderId="4" xfId="10" applyFont="1" applyBorder="1" applyAlignment="1">
      <alignment horizontal="left" vertical="center" wrapText="1"/>
    </xf>
    <xf numFmtId="43" fontId="34" fillId="0" borderId="20" xfId="4" applyNumberFormat="1" applyFont="1" applyFill="1" applyBorder="1" applyAlignment="1"/>
    <xf numFmtId="164" fontId="34" fillId="0" borderId="20" xfId="8" applyFont="1" applyBorder="1"/>
    <xf numFmtId="164" fontId="35" fillId="0" borderId="20" xfId="12" applyNumberFormat="1" applyFont="1" applyBorder="1" applyAlignment="1">
      <alignment horizontal="center"/>
    </xf>
    <xf numFmtId="43" fontId="19" fillId="0" borderId="20" xfId="12" applyNumberFormat="1" applyFont="1" applyBorder="1"/>
    <xf numFmtId="43" fontId="35" fillId="0" borderId="21" xfId="4" applyNumberFormat="1" applyFont="1" applyFill="1" applyBorder="1" applyAlignment="1"/>
    <xf numFmtId="0" fontId="35" fillId="0" borderId="22" xfId="10" applyFont="1" applyBorder="1" applyAlignment="1">
      <alignment horizontal="center" wrapText="1"/>
    </xf>
    <xf numFmtId="164" fontId="35" fillId="0" borderId="21" xfId="10" applyNumberFormat="1" applyFont="1" applyBorder="1" applyAlignment="1">
      <alignment wrapText="1"/>
    </xf>
    <xf numFmtId="164" fontId="35" fillId="0" borderId="21" xfId="8" applyFont="1" applyBorder="1"/>
    <xf numFmtId="43" fontId="19" fillId="0" borderId="21" xfId="12" applyNumberFormat="1" applyFont="1" applyBorder="1"/>
    <xf numFmtId="43" fontId="35" fillId="0" borderId="0" xfId="12" applyNumberFormat="1" applyFont="1"/>
    <xf numFmtId="0" fontId="35" fillId="0" borderId="23" xfId="10" applyFont="1" applyBorder="1" applyAlignment="1">
      <alignment horizontal="center" wrapText="1"/>
    </xf>
    <xf numFmtId="43" fontId="35" fillId="0" borderId="23" xfId="4" applyNumberFormat="1" applyFont="1" applyFill="1" applyBorder="1" applyAlignment="1"/>
    <xf numFmtId="43" fontId="34" fillId="0" borderId="23" xfId="4" applyNumberFormat="1" applyFont="1" applyFill="1" applyBorder="1" applyAlignment="1"/>
    <xf numFmtId="164" fontId="35" fillId="0" borderId="23" xfId="12" applyNumberFormat="1" applyFont="1" applyBorder="1" applyAlignment="1">
      <alignment horizontal="center"/>
    </xf>
    <xf numFmtId="164" fontId="35" fillId="0" borderId="23" xfId="10" applyNumberFormat="1" applyFont="1" applyBorder="1" applyAlignment="1">
      <alignment wrapText="1"/>
    </xf>
    <xf numFmtId="164" fontId="35" fillId="0" borderId="23" xfId="8" applyFont="1" applyBorder="1"/>
    <xf numFmtId="164" fontId="35" fillId="2" borderId="23" xfId="8" applyFont="1" applyFill="1" applyBorder="1"/>
    <xf numFmtId="43" fontId="35" fillId="0" borderId="23" xfId="12" applyNumberFormat="1" applyFont="1" applyBorder="1"/>
    <xf numFmtId="43" fontId="19" fillId="0" borderId="23" xfId="12" applyNumberFormat="1" applyFont="1" applyBorder="1"/>
    <xf numFmtId="0" fontId="35" fillId="0" borderId="23" xfId="12" applyFont="1" applyBorder="1"/>
    <xf numFmtId="0" fontId="35" fillId="0" borderId="0" xfId="10" applyFont="1" applyAlignment="1">
      <alignment horizontal="center" wrapText="1"/>
    </xf>
    <xf numFmtId="43" fontId="35" fillId="0" borderId="0" xfId="4" applyNumberFormat="1" applyFont="1" applyFill="1" applyBorder="1" applyAlignment="1"/>
    <xf numFmtId="43" fontId="34" fillId="0" borderId="0" xfId="4" applyNumberFormat="1" applyFont="1" applyFill="1" applyBorder="1" applyAlignment="1"/>
    <xf numFmtId="164" fontId="35" fillId="0" borderId="0" xfId="12" applyNumberFormat="1" applyFont="1" applyAlignment="1">
      <alignment horizontal="center"/>
    </xf>
    <xf numFmtId="164" fontId="35" fillId="0" borderId="0" xfId="10" applyNumberFormat="1" applyFont="1" applyAlignment="1">
      <alignment wrapText="1"/>
    </xf>
    <xf numFmtId="164" fontId="35" fillId="0" borderId="0" xfId="8" applyFont="1" applyBorder="1"/>
    <xf numFmtId="164" fontId="35" fillId="2" borderId="0" xfId="8" applyFont="1" applyFill="1" applyBorder="1"/>
    <xf numFmtId="43" fontId="19" fillId="0" borderId="0" xfId="12" applyNumberFormat="1" applyFont="1"/>
    <xf numFmtId="164" fontId="34" fillId="2" borderId="8" xfId="8" applyFont="1" applyFill="1" applyBorder="1"/>
    <xf numFmtId="164" fontId="35" fillId="0" borderId="8" xfId="12" applyNumberFormat="1" applyFont="1" applyBorder="1" applyAlignment="1">
      <alignment horizontal="center"/>
    </xf>
    <xf numFmtId="43" fontId="35" fillId="0" borderId="8" xfId="12" applyNumberFormat="1" applyFont="1" applyBorder="1"/>
    <xf numFmtId="0" fontId="34" fillId="0" borderId="4" xfId="10" applyFont="1" applyBorder="1" applyAlignment="1">
      <alignment horizontal="left"/>
    </xf>
    <xf numFmtId="164" fontId="35" fillId="0" borderId="4" xfId="8" applyFont="1" applyBorder="1"/>
    <xf numFmtId="164" fontId="35" fillId="0" borderId="4" xfId="8" applyFont="1" applyBorder="1" applyAlignment="1">
      <alignment horizontal="center"/>
    </xf>
    <xf numFmtId="164" fontId="34" fillId="0" borderId="4" xfId="8" applyFont="1" applyBorder="1" applyAlignment="1">
      <alignment horizontal="center"/>
    </xf>
    <xf numFmtId="43" fontId="34" fillId="0" borderId="4" xfId="4" applyNumberFormat="1" applyFont="1" applyBorder="1"/>
    <xf numFmtId="43" fontId="34" fillId="0" borderId="9" xfId="4" applyNumberFormat="1" applyFont="1" applyFill="1" applyBorder="1" applyAlignment="1"/>
    <xf numFmtId="164" fontId="34" fillId="0" borderId="9" xfId="8" applyFont="1" applyBorder="1"/>
    <xf numFmtId="0" fontId="34" fillId="0" borderId="9" xfId="10" applyFont="1" applyBorder="1" applyAlignment="1">
      <alignment horizontal="left"/>
    </xf>
    <xf numFmtId="0" fontId="34" fillId="0" borderId="20" xfId="10" applyFont="1" applyBorder="1" applyAlignment="1">
      <alignment horizontal="left"/>
    </xf>
    <xf numFmtId="43" fontId="35" fillId="0" borderId="26" xfId="4" applyNumberFormat="1" applyFont="1" applyFill="1" applyBorder="1" applyAlignment="1"/>
    <xf numFmtId="164" fontId="35" fillId="0" borderId="26" xfId="12" applyNumberFormat="1" applyFont="1" applyBorder="1" applyAlignment="1">
      <alignment horizontal="center"/>
    </xf>
    <xf numFmtId="0" fontId="35" fillId="0" borderId="27" xfId="10" applyFont="1" applyBorder="1" applyAlignment="1">
      <alignment horizontal="center"/>
    </xf>
    <xf numFmtId="164" fontId="35" fillId="0" borderId="27" xfId="10" applyNumberFormat="1" applyFont="1" applyBorder="1"/>
    <xf numFmtId="164" fontId="35" fillId="0" borderId="26" xfId="12" applyNumberFormat="1" applyFont="1" applyBorder="1"/>
    <xf numFmtId="164" fontId="35" fillId="2" borderId="26" xfId="8" applyFont="1" applyFill="1" applyBorder="1"/>
    <xf numFmtId="43" fontId="19" fillId="0" borderId="26" xfId="12" applyNumberFormat="1" applyFont="1" applyBorder="1"/>
    <xf numFmtId="164" fontId="35" fillId="0" borderId="28" xfId="12" applyNumberFormat="1" applyFont="1" applyBorder="1"/>
    <xf numFmtId="164" fontId="35" fillId="0" borderId="28" xfId="12" applyNumberFormat="1" applyFont="1" applyBorder="1" applyAlignment="1">
      <alignment horizontal="center"/>
    </xf>
    <xf numFmtId="0" fontId="35" fillId="0" borderId="29" xfId="12" applyFont="1" applyBorder="1" applyAlignment="1">
      <alignment horizontal="center"/>
    </xf>
    <xf numFmtId="164" fontId="35" fillId="0" borderId="29" xfId="12" applyNumberFormat="1" applyFont="1" applyBorder="1"/>
    <xf numFmtId="0" fontId="35" fillId="0" borderId="28" xfId="12" applyFont="1" applyBorder="1"/>
    <xf numFmtId="43" fontId="19" fillId="0" borderId="28" xfId="12" applyNumberFormat="1" applyFont="1" applyBorder="1"/>
    <xf numFmtId="164" fontId="35" fillId="2" borderId="0" xfId="12" applyNumberFormat="1" applyFont="1" applyFill="1"/>
    <xf numFmtId="9" fontId="25" fillId="0" borderId="0" xfId="9" applyFont="1" applyBorder="1"/>
    <xf numFmtId="43" fontId="24" fillId="0" borderId="0" xfId="7" applyNumberFormat="1" applyFont="1"/>
    <xf numFmtId="0" fontId="36" fillId="0" borderId="16" xfId="10" applyFont="1" applyBorder="1" applyAlignment="1">
      <alignment horizontal="center"/>
    </xf>
    <xf numFmtId="43" fontId="34" fillId="0" borderId="8" xfId="7" applyNumberFormat="1" applyFont="1" applyBorder="1"/>
    <xf numFmtId="0" fontId="35" fillId="2" borderId="8" xfId="12" applyFont="1" applyFill="1" applyBorder="1"/>
    <xf numFmtId="0" fontId="34" fillId="0" borderId="17" xfId="10" applyFont="1" applyBorder="1"/>
    <xf numFmtId="43" fontId="34" fillId="0" borderId="4" xfId="7" applyNumberFormat="1" applyFont="1" applyBorder="1"/>
    <xf numFmtId="164" fontId="35" fillId="2" borderId="4" xfId="8" applyFont="1" applyFill="1" applyBorder="1"/>
    <xf numFmtId="0" fontId="34" fillId="0" borderId="18" xfId="10" applyFont="1" applyBorder="1"/>
    <xf numFmtId="0" fontId="34" fillId="0" borderId="19" xfId="10" applyFont="1" applyBorder="1"/>
    <xf numFmtId="0" fontId="37" fillId="0" borderId="4" xfId="10" applyFont="1" applyBorder="1" applyAlignment="1">
      <alignment horizontal="left" vertical="center" wrapText="1"/>
    </xf>
    <xf numFmtId="43" fontId="34" fillId="0" borderId="4" xfId="1" applyFont="1" applyFill="1" applyBorder="1" applyAlignment="1">
      <alignment horizontal="center" wrapText="1"/>
    </xf>
    <xf numFmtId="43" fontId="34" fillId="0" borderId="4" xfId="1" applyFont="1" applyFill="1" applyBorder="1" applyAlignment="1">
      <alignment wrapText="1"/>
    </xf>
    <xf numFmtId="0" fontId="34" fillId="0" borderId="4" xfId="10" applyFont="1" applyBorder="1" applyAlignment="1">
      <alignment wrapText="1"/>
    </xf>
    <xf numFmtId="164" fontId="34" fillId="0" borderId="4" xfId="8" quotePrefix="1" applyFont="1" applyBorder="1"/>
    <xf numFmtId="43" fontId="34" fillId="0" borderId="20" xfId="7" applyNumberFormat="1" applyFont="1" applyBorder="1"/>
    <xf numFmtId="0" fontId="35" fillId="0" borderId="64" xfId="10" applyFont="1" applyBorder="1" applyAlignment="1">
      <alignment horizontal="center" wrapText="1"/>
    </xf>
    <xf numFmtId="43" fontId="35" fillId="0" borderId="65" xfId="4" applyNumberFormat="1" applyFont="1" applyFill="1" applyBorder="1" applyAlignment="1"/>
    <xf numFmtId="43" fontId="19" fillId="0" borderId="65" xfId="12" applyNumberFormat="1" applyFont="1" applyBorder="1"/>
    <xf numFmtId="43" fontId="35" fillId="0" borderId="0" xfId="7" applyNumberFormat="1" applyFont="1" applyFill="1" applyBorder="1" applyAlignment="1"/>
    <xf numFmtId="0" fontId="36" fillId="0" borderId="24" xfId="10" applyFont="1" applyBorder="1" applyAlignment="1">
      <alignment horizontal="center"/>
    </xf>
    <xf numFmtId="164" fontId="35" fillId="2" borderId="8" xfId="8" applyFont="1" applyFill="1" applyBorder="1"/>
    <xf numFmtId="0" fontId="34" fillId="0" borderId="25" xfId="10" applyFont="1" applyBorder="1" applyAlignment="1">
      <alignment horizontal="left"/>
    </xf>
    <xf numFmtId="43" fontId="34" fillId="0" borderId="4" xfId="7" applyNumberFormat="1" applyFont="1" applyBorder="1" applyAlignment="1">
      <alignment horizontal="center"/>
    </xf>
    <xf numFmtId="0" fontId="34" fillId="0" borderId="19" xfId="10" applyFont="1" applyBorder="1" applyAlignment="1">
      <alignment horizontal="left"/>
    </xf>
    <xf numFmtId="0" fontId="34" fillId="0" borderId="3" xfId="10" applyFont="1" applyBorder="1" applyAlignment="1">
      <alignment horizontal="left"/>
    </xf>
    <xf numFmtId="0" fontId="34" fillId="0" borderId="70" xfId="10" applyFont="1" applyBorder="1" applyAlignment="1">
      <alignment horizontal="left"/>
    </xf>
    <xf numFmtId="43" fontId="34" fillId="0" borderId="9" xfId="7" applyNumberFormat="1" applyFont="1" applyBorder="1"/>
    <xf numFmtId="164" fontId="19" fillId="0" borderId="4" xfId="12" applyNumberFormat="1" applyFont="1" applyBorder="1"/>
    <xf numFmtId="43" fontId="19" fillId="0" borderId="9" xfId="12" applyNumberFormat="1" applyFont="1" applyBorder="1"/>
    <xf numFmtId="0" fontId="35" fillId="0" borderId="30" xfId="10" applyFont="1" applyBorder="1" applyAlignment="1">
      <alignment horizontal="center"/>
    </xf>
    <xf numFmtId="164" fontId="35" fillId="0" borderId="26" xfId="8" applyFont="1" applyBorder="1"/>
    <xf numFmtId="0" fontId="35" fillId="0" borderId="31" xfId="12" applyFont="1" applyBorder="1" applyAlignment="1">
      <alignment horizontal="center"/>
    </xf>
    <xf numFmtId="0" fontId="35" fillId="0" borderId="0" xfId="12" applyFont="1" applyAlignment="1">
      <alignment horizontal="center"/>
    </xf>
    <xf numFmtId="164" fontId="35" fillId="0" borderId="0" xfId="12" applyNumberFormat="1" applyFont="1"/>
    <xf numFmtId="43" fontId="34" fillId="0" borderId="0" xfId="7" applyNumberFormat="1" applyFont="1" applyFill="1" applyBorder="1"/>
    <xf numFmtId="164" fontId="34" fillId="0" borderId="0" xfId="8" applyFont="1" applyBorder="1"/>
    <xf numFmtId="164" fontId="34" fillId="0" borderId="0" xfId="12" applyNumberFormat="1" applyFont="1"/>
    <xf numFmtId="43" fontId="25" fillId="0" borderId="0" xfId="7" applyNumberFormat="1" applyFont="1"/>
    <xf numFmtId="0" fontId="40" fillId="0" borderId="0" xfId="0" applyFont="1"/>
    <xf numFmtId="0" fontId="39" fillId="0" borderId="0" xfId="0" applyFont="1"/>
    <xf numFmtId="0" fontId="39" fillId="0" borderId="10" xfId="0" applyFont="1" applyBorder="1" applyAlignment="1">
      <alignment horizontal="center"/>
    </xf>
    <xf numFmtId="0" fontId="39" fillId="0" borderId="12" xfId="0" applyFont="1" applyBorder="1"/>
    <xf numFmtId="0" fontId="39" fillId="0" borderId="12" xfId="0" applyFont="1" applyBorder="1" applyAlignment="1">
      <alignment horizontal="center"/>
    </xf>
    <xf numFmtId="0" fontId="40" fillId="0" borderId="8" xfId="0" applyFont="1" applyBorder="1"/>
    <xf numFmtId="164" fontId="40" fillId="0" borderId="8" xfId="1" applyNumberFormat="1" applyFont="1" applyBorder="1"/>
    <xf numFmtId="164" fontId="40" fillId="0" borderId="8" xfId="0" applyNumberFormat="1" applyFont="1" applyBorder="1"/>
    <xf numFmtId="0" fontId="40" fillId="0" borderId="4" xfId="0" applyFont="1" applyBorder="1"/>
    <xf numFmtId="164" fontId="40" fillId="0" borderId="4" xfId="1" applyNumberFormat="1" applyFont="1" applyBorder="1"/>
    <xf numFmtId="164" fontId="40" fillId="0" borderId="4" xfId="0" applyNumberFormat="1" applyFont="1" applyBorder="1"/>
    <xf numFmtId="0" fontId="40" fillId="0" borderId="9" xfId="0" applyFont="1" applyBorder="1"/>
    <xf numFmtId="164" fontId="40" fillId="0" borderId="9" xfId="1" applyNumberFormat="1" applyFont="1" applyBorder="1"/>
    <xf numFmtId="164" fontId="40" fillId="0" borderId="6" xfId="1" applyNumberFormat="1" applyFont="1" applyBorder="1"/>
    <xf numFmtId="0" fontId="40" fillId="0" borderId="13" xfId="0" applyFont="1" applyBorder="1"/>
    <xf numFmtId="164" fontId="40" fillId="0" borderId="13" xfId="0" applyNumberFormat="1" applyFont="1" applyBorder="1"/>
    <xf numFmtId="164" fontId="6" fillId="0" borderId="0" xfId="1" applyNumberFormat="1" applyFont="1" applyFill="1"/>
    <xf numFmtId="164" fontId="6" fillId="0" borderId="0" xfId="1" applyNumberFormat="1" applyFont="1" applyFill="1" applyAlignment="1">
      <alignment horizontal="center"/>
    </xf>
    <xf numFmtId="49" fontId="6" fillId="0" borderId="7" xfId="0" applyNumberFormat="1" applyFont="1" applyBorder="1" applyAlignment="1">
      <alignment horizontal="center"/>
    </xf>
    <xf numFmtId="0" fontId="6" fillId="0" borderId="71" xfId="0" applyFont="1" applyBorder="1"/>
    <xf numFmtId="43" fontId="17" fillId="0" borderId="8" xfId="1" applyFont="1" applyFill="1" applyBorder="1" applyAlignment="1">
      <alignment horizontal="right"/>
    </xf>
    <xf numFmtId="164" fontId="17" fillId="0" borderId="8" xfId="0" applyNumberFormat="1" applyFont="1" applyBorder="1"/>
    <xf numFmtId="49" fontId="6" fillId="0" borderId="3" xfId="0" applyNumberFormat="1" applyFont="1" applyBorder="1" applyAlignment="1">
      <alignment horizontal="center"/>
    </xf>
    <xf numFmtId="0" fontId="6" fillId="0" borderId="72" xfId="0" applyFont="1" applyBorder="1"/>
    <xf numFmtId="43" fontId="17" fillId="0" borderId="4" xfId="1" applyFont="1" applyFill="1" applyBorder="1" applyAlignment="1">
      <alignment horizontal="right"/>
    </xf>
    <xf numFmtId="164" fontId="17" fillId="0" borderId="4" xfId="0" applyNumberFormat="1" applyFont="1" applyBorder="1"/>
    <xf numFmtId="43" fontId="6" fillId="0" borderId="4" xfId="1" applyFont="1" applyFill="1" applyBorder="1" applyAlignment="1">
      <alignment horizontal="right"/>
    </xf>
    <xf numFmtId="164" fontId="6" fillId="0" borderId="4" xfId="0" applyNumberFormat="1" applyFont="1" applyBorder="1"/>
    <xf numFmtId="43" fontId="6" fillId="0" borderId="4" xfId="1" applyFont="1" applyFill="1" applyBorder="1" applyAlignment="1"/>
    <xf numFmtId="49" fontId="6" fillId="0" borderId="5" xfId="0" applyNumberFormat="1" applyFont="1" applyBorder="1" applyAlignment="1">
      <alignment horizontal="center"/>
    </xf>
    <xf numFmtId="0" fontId="6" fillId="0" borderId="73" xfId="0" applyFont="1" applyBorder="1"/>
    <xf numFmtId="43" fontId="6" fillId="0" borderId="6" xfId="1" applyFont="1" applyFill="1" applyBorder="1" applyAlignment="1"/>
    <xf numFmtId="164" fontId="6" fillId="0" borderId="9" xfId="0" applyNumberFormat="1" applyFont="1" applyBorder="1"/>
    <xf numFmtId="164" fontId="6" fillId="0" borderId="0" xfId="1" applyNumberFormat="1" applyFont="1" applyFill="1" applyBorder="1"/>
    <xf numFmtId="43" fontId="6" fillId="0" borderId="0" xfId="0" applyNumberFormat="1" applyFont="1"/>
    <xf numFmtId="164" fontId="6" fillId="0" borderId="0" xfId="0" applyNumberFormat="1" applyFont="1"/>
    <xf numFmtId="43" fontId="6" fillId="0" borderId="0" xfId="1" applyFont="1" applyFill="1" applyBorder="1"/>
    <xf numFmtId="164" fontId="41" fillId="0" borderId="0" xfId="1" applyNumberFormat="1" applyFont="1" applyFill="1" applyBorder="1"/>
    <xf numFmtId="0" fontId="6" fillId="0" borderId="0" xfId="0" applyFont="1" applyAlignment="1">
      <alignment vertical="center"/>
    </xf>
    <xf numFmtId="43" fontId="6" fillId="0" borderId="0" xfId="1" applyFont="1" applyFill="1" applyBorder="1" applyAlignment="1">
      <alignment vertical="center"/>
    </xf>
    <xf numFmtId="164" fontId="6" fillId="0" borderId="0" xfId="1" applyNumberFormat="1" applyFont="1" applyFill="1" applyAlignment="1">
      <alignment vertical="center"/>
    </xf>
    <xf numFmtId="43" fontId="42" fillId="0" borderId="0" xfId="1" applyFont="1" applyFill="1" applyBorder="1"/>
    <xf numFmtId="43" fontId="10" fillId="0" borderId="0" xfId="1" applyFont="1" applyFill="1" applyBorder="1"/>
    <xf numFmtId="0" fontId="38" fillId="0" borderId="0" xfId="11" applyFont="1"/>
    <xf numFmtId="0" fontId="35" fillId="0" borderId="2" xfId="11" applyFont="1" applyBorder="1" applyAlignment="1">
      <alignment horizontal="center" vertical="center"/>
    </xf>
    <xf numFmtId="0" fontId="35" fillId="0" borderId="10" xfId="11" applyFont="1" applyBorder="1" applyAlignment="1">
      <alignment horizontal="center" vertical="center"/>
    </xf>
    <xf numFmtId="0" fontId="35" fillId="0" borderId="10" xfId="11" applyFont="1" applyBorder="1" applyAlignment="1">
      <alignment horizontal="center"/>
    </xf>
    <xf numFmtId="4" fontId="35" fillId="0" borderId="10" xfId="11" applyNumberFormat="1" applyFont="1" applyBorder="1" applyAlignment="1">
      <alignment horizontal="center"/>
    </xf>
    <xf numFmtId="43" fontId="35" fillId="0" borderId="10" xfId="4" applyNumberFormat="1" applyFont="1" applyBorder="1" applyAlignment="1">
      <alignment horizontal="center"/>
    </xf>
    <xf numFmtId="0" fontId="35" fillId="0" borderId="12" xfId="11" applyFont="1" applyBorder="1" applyAlignment="1">
      <alignment horizontal="center"/>
    </xf>
    <xf numFmtId="4" fontId="35" fillId="0" borderId="12" xfId="11" applyNumberFormat="1" applyFont="1" applyBorder="1" applyAlignment="1">
      <alignment horizontal="center"/>
    </xf>
    <xf numFmtId="43" fontId="35" fillId="0" borderId="12" xfId="4" applyNumberFormat="1" applyFont="1" applyBorder="1" applyAlignment="1">
      <alignment horizontal="center"/>
    </xf>
    <xf numFmtId="0" fontId="35" fillId="0" borderId="12" xfId="11" applyFont="1" applyBorder="1" applyAlignment="1">
      <alignment vertical="center"/>
    </xf>
    <xf numFmtId="0" fontId="35" fillId="0" borderId="12" xfId="11" applyFont="1" applyBorder="1" applyAlignment="1">
      <alignment horizontal="center" vertical="center"/>
    </xf>
    <xf numFmtId="0" fontId="34" fillId="0" borderId="8" xfId="11" applyFont="1" applyBorder="1"/>
    <xf numFmtId="4" fontId="34" fillId="0" borderId="8" xfId="11" applyNumberFormat="1" applyFont="1" applyBorder="1"/>
    <xf numFmtId="43" fontId="34" fillId="0" borderId="8" xfId="4" applyNumberFormat="1" applyFont="1" applyBorder="1"/>
    <xf numFmtId="164" fontId="35" fillId="0" borderId="8" xfId="4" applyNumberFormat="1" applyFont="1" applyBorder="1"/>
    <xf numFmtId="0" fontId="35" fillId="0" borderId="8" xfId="11" applyFont="1" applyBorder="1"/>
    <xf numFmtId="43" fontId="35" fillId="0" borderId="4" xfId="4" applyNumberFormat="1" applyFont="1" applyBorder="1"/>
    <xf numFmtId="0" fontId="34" fillId="0" borderId="0" xfId="10" applyFont="1"/>
    <xf numFmtId="43" fontId="34" fillId="0" borderId="0" xfId="4" applyNumberFormat="1" applyFont="1" applyBorder="1"/>
    <xf numFmtId="43" fontId="35" fillId="0" borderId="0" xfId="4" applyNumberFormat="1" applyFont="1" applyBorder="1"/>
    <xf numFmtId="0" fontId="36" fillId="0" borderId="33" xfId="10" applyFont="1" applyBorder="1" applyAlignment="1">
      <alignment horizontal="center"/>
    </xf>
    <xf numFmtId="43" fontId="34" fillId="0" borderId="33" xfId="4" applyNumberFormat="1" applyFont="1" applyBorder="1"/>
    <xf numFmtId="43" fontId="35" fillId="0" borderId="33" xfId="4" applyNumberFormat="1" applyFont="1" applyBorder="1"/>
    <xf numFmtId="0" fontId="34" fillId="0" borderId="39" xfId="10" applyFont="1" applyBorder="1"/>
    <xf numFmtId="43" fontId="34" fillId="0" borderId="39" xfId="4" applyNumberFormat="1" applyFont="1" applyBorder="1"/>
    <xf numFmtId="43" fontId="35" fillId="0" borderId="39" xfId="4" applyNumberFormat="1" applyFont="1" applyBorder="1"/>
    <xf numFmtId="0" fontId="34" fillId="0" borderId="41" xfId="10" applyFont="1" applyBorder="1"/>
    <xf numFmtId="43" fontId="34" fillId="0" borderId="41" xfId="4" applyNumberFormat="1" applyFont="1" applyBorder="1"/>
    <xf numFmtId="43" fontId="35" fillId="0" borderId="41" xfId="4" applyNumberFormat="1" applyFont="1" applyBorder="1"/>
    <xf numFmtId="0" fontId="34" fillId="0" borderId="54" xfId="10" applyFont="1" applyBorder="1"/>
    <xf numFmtId="43" fontId="34" fillId="0" borderId="54" xfId="4" applyNumberFormat="1" applyFont="1" applyBorder="1"/>
    <xf numFmtId="43" fontId="35" fillId="0" borderId="54" xfId="4" applyNumberFormat="1" applyFont="1" applyBorder="1"/>
    <xf numFmtId="0" fontId="43" fillId="0" borderId="60" xfId="11" applyFont="1" applyBorder="1" applyAlignment="1">
      <alignment horizontal="center"/>
    </xf>
    <xf numFmtId="43" fontId="43" fillId="0" borderId="60" xfId="4" applyNumberFormat="1" applyFont="1" applyBorder="1"/>
    <xf numFmtId="43" fontId="35" fillId="0" borderId="60" xfId="4" applyNumberFormat="1" applyFont="1" applyBorder="1"/>
    <xf numFmtId="164" fontId="43" fillId="0" borderId="0" xfId="11" applyNumberFormat="1" applyFont="1"/>
    <xf numFmtId="0" fontId="43" fillId="0" borderId="0" xfId="11" applyFont="1"/>
    <xf numFmtId="43" fontId="38" fillId="0" borderId="0" xfId="1" applyFont="1"/>
    <xf numFmtId="43" fontId="43" fillId="0" borderId="0" xfId="11" applyNumberFormat="1" applyFont="1"/>
    <xf numFmtId="164" fontId="38" fillId="0" borderId="0" xfId="11" applyNumberFormat="1" applyFont="1"/>
    <xf numFmtId="4" fontId="38" fillId="0" borderId="0" xfId="11" applyNumberFormat="1" applyFont="1"/>
    <xf numFmtId="43" fontId="38" fillId="0" borderId="0" xfId="4" applyNumberFormat="1" applyFont="1"/>
    <xf numFmtId="166" fontId="38" fillId="0" borderId="0" xfId="11" applyNumberFormat="1" applyFont="1"/>
    <xf numFmtId="43" fontId="38" fillId="0" borderId="0" xfId="11" applyNumberFormat="1" applyFont="1"/>
    <xf numFmtId="0" fontId="34" fillId="0" borderId="11" xfId="10" applyFont="1" applyBorder="1"/>
    <xf numFmtId="0" fontId="34" fillId="0" borderId="6" xfId="10" applyFont="1" applyBorder="1"/>
    <xf numFmtId="0" fontId="25" fillId="0" borderId="11" xfId="0" applyFont="1" applyBorder="1"/>
    <xf numFmtId="0" fontId="25" fillId="0" borderId="55" xfId="12" applyFont="1" applyBorder="1" applyAlignment="1">
      <alignment horizontal="center"/>
    </xf>
    <xf numFmtId="43" fontId="35" fillId="0" borderId="55" xfId="12" applyNumberFormat="1" applyFont="1" applyBorder="1"/>
    <xf numFmtId="43" fontId="19" fillId="0" borderId="10" xfId="1" applyFont="1" applyFill="1" applyBorder="1" applyAlignment="1">
      <alignment horizontal="center"/>
    </xf>
    <xf numFmtId="43" fontId="35" fillId="2" borderId="0" xfId="12" applyNumberFormat="1" applyFont="1" applyFill="1"/>
    <xf numFmtId="43" fontId="24" fillId="0" borderId="15" xfId="4" applyNumberFormat="1" applyFont="1" applyBorder="1"/>
    <xf numFmtId="43" fontId="18" fillId="0" borderId="4" xfId="1" applyFont="1" applyBorder="1" applyAlignment="1">
      <alignment horizontal="center"/>
    </xf>
    <xf numFmtId="0" fontId="34" fillId="0" borderId="9" xfId="10" applyFont="1" applyBorder="1"/>
    <xf numFmtId="43" fontId="34" fillId="0" borderId="9" xfId="4" applyNumberFormat="1" applyFont="1" applyBorder="1"/>
    <xf numFmtId="43" fontId="35" fillId="0" borderId="9" xfId="4" applyNumberFormat="1" applyFont="1" applyBorder="1"/>
    <xf numFmtId="0" fontId="38" fillId="0" borderId="2" xfId="11" applyFont="1" applyBorder="1"/>
    <xf numFmtId="43" fontId="21" fillId="0" borderId="0" xfId="10" applyNumberFormat="1" applyFont="1"/>
    <xf numFmtId="43" fontId="34" fillId="0" borderId="6" xfId="4" applyNumberFormat="1" applyFont="1" applyBorder="1"/>
    <xf numFmtId="43" fontId="35" fillId="0" borderId="6" xfId="4" applyNumberFormat="1" applyFont="1" applyBorder="1"/>
    <xf numFmtId="0" fontId="38" fillId="0" borderId="55" xfId="11" applyFont="1" applyBorder="1"/>
    <xf numFmtId="0" fontId="25" fillId="0" borderId="6" xfId="10" applyFont="1" applyBorder="1"/>
    <xf numFmtId="164" fontId="25" fillId="0" borderId="11" xfId="12" applyNumberFormat="1" applyFont="1" applyBorder="1"/>
    <xf numFmtId="3" fontId="25" fillId="0" borderId="9" xfId="8" applyNumberFormat="1" applyFont="1" applyBorder="1" applyAlignment="1">
      <alignment horizontal="center"/>
    </xf>
    <xf numFmtId="43" fontId="25" fillId="0" borderId="9" xfId="4" applyNumberFormat="1" applyFont="1" applyBorder="1"/>
    <xf numFmtId="0" fontId="25" fillId="0" borderId="52" xfId="12" applyFont="1" applyBorder="1" applyAlignment="1">
      <alignment horizontal="left"/>
    </xf>
    <xf numFmtId="0" fontId="26" fillId="0" borderId="52" xfId="12" applyFont="1" applyBorder="1" applyAlignment="1">
      <alignment horizontal="left"/>
    </xf>
    <xf numFmtId="43" fontId="25" fillId="0" borderId="52" xfId="4" applyNumberFormat="1" applyFont="1" applyBorder="1"/>
    <xf numFmtId="0" fontId="24" fillId="0" borderId="2" xfId="12" applyFont="1" applyBorder="1" applyAlignment="1">
      <alignment horizontal="left"/>
    </xf>
    <xf numFmtId="164" fontId="24" fillId="0" borderId="2" xfId="12" applyNumberFormat="1" applyFont="1" applyBorder="1"/>
    <xf numFmtId="43" fontId="24" fillId="0" borderId="2" xfId="4" applyNumberFormat="1" applyFont="1" applyBorder="1"/>
    <xf numFmtId="167" fontId="24" fillId="0" borderId="11" xfId="4" applyNumberFormat="1" applyFont="1" applyFill="1" applyBorder="1" applyAlignment="1">
      <alignment horizontal="justify" shrinkToFit="1"/>
    </xf>
    <xf numFmtId="2" fontId="24" fillId="0" borderId="11" xfId="12" applyNumberFormat="1" applyFont="1" applyBorder="1" applyAlignment="1">
      <alignment horizontal="center"/>
    </xf>
    <xf numFmtId="167" fontId="25" fillId="0" borderId="11" xfId="4" applyNumberFormat="1" applyFont="1" applyFill="1" applyBorder="1" applyAlignment="1">
      <alignment horizontal="left" shrinkToFit="1"/>
    </xf>
    <xf numFmtId="0" fontId="34" fillId="0" borderId="9" xfId="10" applyFont="1" applyBorder="1" applyAlignment="1">
      <alignment horizontal="left" wrapText="1"/>
    </xf>
    <xf numFmtId="164" fontId="34" fillId="2" borderId="9" xfId="8" applyFont="1" applyFill="1" applyBorder="1"/>
    <xf numFmtId="164" fontId="35" fillId="0" borderId="9" xfId="12" applyNumberFormat="1" applyFont="1" applyBorder="1" applyAlignment="1">
      <alignment horizontal="center"/>
    </xf>
    <xf numFmtId="43" fontId="35" fillId="0" borderId="9" xfId="12" applyNumberFormat="1" applyFont="1" applyBorder="1"/>
    <xf numFmtId="0" fontId="34" fillId="0" borderId="83" xfId="10" applyFont="1" applyBorder="1" applyAlignment="1">
      <alignment wrapText="1"/>
    </xf>
    <xf numFmtId="0" fontId="34" fillId="0" borderId="9" xfId="10" applyFont="1" applyBorder="1" applyAlignment="1">
      <alignment wrapText="1"/>
    </xf>
    <xf numFmtId="43" fontId="34" fillId="0" borderId="9" xfId="1" applyFont="1" applyFill="1" applyBorder="1" applyAlignment="1">
      <alignment wrapText="1"/>
    </xf>
    <xf numFmtId="164" fontId="35" fillId="2" borderId="9" xfId="8" applyFont="1" applyFill="1" applyBorder="1"/>
    <xf numFmtId="0" fontId="44" fillId="0" borderId="4" xfId="10" applyFont="1" applyBorder="1"/>
    <xf numFmtId="0" fontId="44" fillId="0" borderId="4" xfId="12" applyFont="1" applyBorder="1" applyAlignment="1">
      <alignment horizontal="left"/>
    </xf>
    <xf numFmtId="3" fontId="44" fillId="0" borderId="4" xfId="12" applyNumberFormat="1" applyFont="1" applyBorder="1" applyAlignment="1">
      <alignment horizontal="center"/>
    </xf>
    <xf numFmtId="0" fontId="45" fillId="0" borderId="4" xfId="12" applyFont="1" applyBorder="1" applyAlignment="1">
      <alignment horizontal="center"/>
    </xf>
    <xf numFmtId="3" fontId="45" fillId="0" borderId="4" xfId="12" applyNumberFormat="1" applyFont="1" applyBorder="1" applyAlignment="1">
      <alignment horizontal="center"/>
    </xf>
    <xf numFmtId="0" fontId="44" fillId="0" borderId="0" xfId="12" applyFont="1"/>
    <xf numFmtId="0" fontId="6" fillId="0" borderId="1" xfId="0" applyFont="1" applyBorder="1" applyAlignment="1">
      <alignment wrapText="1"/>
    </xf>
    <xf numFmtId="43" fontId="6" fillId="0" borderId="1" xfId="1" applyFont="1" applyFill="1" applyBorder="1" applyAlignment="1">
      <alignment horizontal="right" wrapText="1"/>
    </xf>
    <xf numFmtId="43" fontId="6" fillId="0" borderId="85" xfId="1" applyFont="1" applyFill="1" applyBorder="1"/>
    <xf numFmtId="43" fontId="42" fillId="0" borderId="0" xfId="1" applyFont="1" applyFill="1"/>
    <xf numFmtId="3" fontId="25" fillId="0" borderId="9" xfId="12" applyNumberFormat="1" applyFont="1" applyBorder="1" applyAlignment="1">
      <alignment horizontal="center"/>
    </xf>
    <xf numFmtId="43" fontId="25" fillId="0" borderId="2" xfId="4" applyNumberFormat="1" applyFont="1" applyBorder="1"/>
    <xf numFmtId="1" fontId="25" fillId="0" borderId="11" xfId="12" applyNumberFormat="1" applyFont="1" applyBorder="1" applyAlignment="1">
      <alignment horizontal="center"/>
    </xf>
    <xf numFmtId="170" fontId="25" fillId="0" borderId="0" xfId="8" applyNumberFormat="1" applyFont="1" applyBorder="1"/>
    <xf numFmtId="43" fontId="34" fillId="0" borderId="0" xfId="1" applyFont="1" applyBorder="1"/>
    <xf numFmtId="2" fontId="40" fillId="0" borderId="0" xfId="0" applyNumberFormat="1" applyFont="1"/>
    <xf numFmtId="2" fontId="25" fillId="0" borderId="0" xfId="12" applyNumberFormat="1" applyFont="1"/>
    <xf numFmtId="165" fontId="19" fillId="0" borderId="4" xfId="1" applyNumberFormat="1" applyFont="1" applyBorder="1" applyAlignment="1">
      <alignment horizontal="center"/>
    </xf>
    <xf numFmtId="164" fontId="25" fillId="0" borderId="86" xfId="8" applyFont="1" applyBorder="1"/>
    <xf numFmtId="164" fontId="24" fillId="0" borderId="87" xfId="8" applyFont="1" applyBorder="1"/>
    <xf numFmtId="43" fontId="27" fillId="0" borderId="51" xfId="4" applyNumberFormat="1" applyFont="1" applyFill="1" applyBorder="1" applyAlignment="1">
      <alignment horizontal="left"/>
    </xf>
    <xf numFmtId="43" fontId="27" fillId="0" borderId="0" xfId="4" applyNumberFormat="1" applyFont="1" applyFill="1" applyBorder="1" applyAlignment="1">
      <alignment horizontal="left"/>
    </xf>
    <xf numFmtId="0" fontId="25" fillId="0" borderId="8" xfId="10" applyFont="1" applyBorder="1"/>
    <xf numFmtId="0" fontId="24" fillId="0" borderId="88" xfId="12" applyFont="1" applyBorder="1"/>
    <xf numFmtId="0" fontId="24" fillId="0" borderId="88" xfId="12" applyFont="1" applyBorder="1" applyAlignment="1">
      <alignment horizontal="center"/>
    </xf>
    <xf numFmtId="164" fontId="24" fillId="0" borderId="88" xfId="8" applyFont="1" applyBorder="1"/>
    <xf numFmtId="164" fontId="24" fillId="0" borderId="88" xfId="12" applyNumberFormat="1" applyFont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5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5" xfId="0" applyFont="1" applyBorder="1" applyAlignment="1">
      <alignment horizontal="right"/>
    </xf>
    <xf numFmtId="0" fontId="35" fillId="0" borderId="15" xfId="11" applyFont="1" applyBorder="1" applyAlignment="1">
      <alignment horizontal="center"/>
    </xf>
    <xf numFmtId="0" fontId="35" fillId="0" borderId="10" xfId="11" applyFont="1" applyBorder="1" applyAlignment="1">
      <alignment horizontal="center" vertical="center" shrinkToFit="1"/>
    </xf>
    <xf numFmtId="0" fontId="35" fillId="0" borderId="11" xfId="11" applyFont="1" applyBorder="1" applyAlignment="1">
      <alignment horizontal="center" vertical="center" shrinkToFit="1"/>
    </xf>
    <xf numFmtId="0" fontId="35" fillId="0" borderId="12" xfId="11" applyFont="1" applyBorder="1" applyAlignment="1">
      <alignment horizontal="center" vertical="center" shrinkToFit="1"/>
    </xf>
    <xf numFmtId="0" fontId="35" fillId="0" borderId="2" xfId="11" applyFont="1" applyBorder="1" applyAlignment="1">
      <alignment horizontal="center"/>
    </xf>
    <xf numFmtId="0" fontId="35" fillId="0" borderId="2" xfId="11" applyFont="1" applyBorder="1" applyAlignment="1">
      <alignment horizontal="center" vertical="center"/>
    </xf>
    <xf numFmtId="0" fontId="35" fillId="0" borderId="10" xfId="11" applyFont="1" applyBorder="1" applyAlignment="1">
      <alignment horizontal="center" vertical="center"/>
    </xf>
    <xf numFmtId="0" fontId="35" fillId="0" borderId="11" xfId="11" applyFont="1" applyBorder="1" applyAlignment="1">
      <alignment horizontal="center" vertical="center"/>
    </xf>
    <xf numFmtId="0" fontId="35" fillId="0" borderId="12" xfId="11" applyFont="1" applyBorder="1" applyAlignment="1">
      <alignment horizontal="center" vertical="center"/>
    </xf>
    <xf numFmtId="0" fontId="24" fillId="0" borderId="0" xfId="12" applyFont="1" applyAlignment="1">
      <alignment horizontal="center"/>
    </xf>
    <xf numFmtId="164" fontId="25" fillId="0" borderId="0" xfId="8" applyFont="1" applyAlignment="1">
      <alignment horizontal="center"/>
    </xf>
    <xf numFmtId="0" fontId="24" fillId="0" borderId="0" xfId="12" applyFont="1" applyAlignment="1">
      <alignment horizontal="left"/>
    </xf>
    <xf numFmtId="0" fontId="24" fillId="0" borderId="42" xfId="12" applyFont="1" applyBorder="1" applyAlignment="1">
      <alignment horizontal="center"/>
    </xf>
    <xf numFmtId="0" fontId="24" fillId="0" borderId="43" xfId="12" applyFont="1" applyBorder="1" applyAlignment="1">
      <alignment horizontal="center"/>
    </xf>
    <xf numFmtId="0" fontId="24" fillId="0" borderId="14" xfId="12" applyFont="1" applyBorder="1" applyAlignment="1">
      <alignment horizontal="center"/>
    </xf>
    <xf numFmtId="0" fontId="24" fillId="0" borderId="50" xfId="12" applyFont="1" applyBorder="1" applyAlignment="1">
      <alignment horizontal="center"/>
    </xf>
    <xf numFmtId="0" fontId="31" fillId="0" borderId="0" xfId="12" applyFont="1" applyAlignment="1">
      <alignment horizontal="left"/>
    </xf>
    <xf numFmtId="2" fontId="35" fillId="0" borderId="2" xfId="12" applyNumberFormat="1" applyFont="1" applyBorder="1" applyAlignment="1" applyProtection="1">
      <alignment horizontal="center"/>
      <protection locked="0"/>
    </xf>
    <xf numFmtId="4" fontId="35" fillId="0" borderId="2" xfId="12" applyNumberFormat="1" applyFont="1" applyBorder="1" applyAlignment="1" applyProtection="1">
      <alignment horizontal="center" vertical="center" wrapText="1"/>
      <protection locked="0"/>
    </xf>
    <xf numFmtId="4" fontId="34" fillId="0" borderId="2" xfId="12" applyNumberFormat="1" applyFont="1" applyBorder="1" applyAlignment="1" applyProtection="1">
      <alignment horizontal="center" vertical="center" wrapText="1"/>
      <protection locked="0"/>
    </xf>
    <xf numFmtId="4" fontId="35" fillId="2" borderId="10" xfId="12" applyNumberFormat="1" applyFont="1" applyFill="1" applyBorder="1" applyAlignment="1" applyProtection="1">
      <alignment horizontal="center" vertical="center" wrapText="1"/>
      <protection locked="0"/>
    </xf>
    <xf numFmtId="4" fontId="35" fillId="2" borderId="11" xfId="12" applyNumberFormat="1" applyFont="1" applyFill="1" applyBorder="1" applyAlignment="1" applyProtection="1">
      <alignment horizontal="center" vertical="center" wrapText="1"/>
      <protection locked="0"/>
    </xf>
    <xf numFmtId="4" fontId="35" fillId="2" borderId="12" xfId="12" applyNumberFormat="1" applyFont="1" applyFill="1" applyBorder="1" applyAlignment="1" applyProtection="1">
      <alignment horizontal="center" vertical="center" wrapText="1"/>
      <protection locked="0"/>
    </xf>
    <xf numFmtId="4" fontId="35" fillId="0" borderId="42" xfId="12" applyNumberFormat="1" applyFont="1" applyBorder="1" applyAlignment="1" applyProtection="1">
      <alignment horizontal="center"/>
      <protection locked="0"/>
    </xf>
    <xf numFmtId="4" fontId="35" fillId="0" borderId="49" xfId="12" applyNumberFormat="1" applyFont="1" applyBorder="1" applyAlignment="1" applyProtection="1">
      <alignment horizontal="center"/>
      <protection locked="0"/>
    </xf>
    <xf numFmtId="4" fontId="35" fillId="0" borderId="43" xfId="12" applyNumberFormat="1" applyFont="1" applyBorder="1" applyAlignment="1" applyProtection="1">
      <alignment horizontal="center"/>
      <protection locked="0"/>
    </xf>
    <xf numFmtId="0" fontId="31" fillId="0" borderId="0" xfId="12" applyFont="1" applyAlignment="1">
      <alignment horizontal="center"/>
    </xf>
    <xf numFmtId="165" fontId="35" fillId="2" borderId="10" xfId="4" applyNumberFormat="1" applyFont="1" applyFill="1" applyBorder="1" applyAlignment="1" applyProtection="1">
      <alignment horizontal="center" vertical="center" wrapText="1"/>
      <protection locked="0"/>
    </xf>
    <xf numFmtId="165" fontId="35" fillId="2" borderId="11" xfId="4" applyNumberFormat="1" applyFont="1" applyFill="1" applyBorder="1" applyAlignment="1" applyProtection="1">
      <alignment horizontal="center" vertical="center" wrapText="1"/>
      <protection locked="0"/>
    </xf>
    <xf numFmtId="165" fontId="35" fillId="2" borderId="12" xfId="4" applyNumberFormat="1" applyFont="1" applyFill="1" applyBorder="1" applyAlignment="1" applyProtection="1">
      <alignment horizontal="center" vertical="center" wrapText="1"/>
      <protection locked="0"/>
    </xf>
    <xf numFmtId="0" fontId="35" fillId="2" borderId="10" xfId="12" applyFont="1" applyFill="1" applyBorder="1" applyAlignment="1" applyProtection="1">
      <alignment horizontal="center" vertical="center"/>
      <protection locked="0"/>
    </xf>
    <xf numFmtId="0" fontId="35" fillId="2" borderId="11" xfId="12" applyFont="1" applyFill="1" applyBorder="1" applyAlignment="1" applyProtection="1">
      <alignment horizontal="center" vertical="center"/>
      <protection locked="0"/>
    </xf>
    <xf numFmtId="0" fontId="35" fillId="2" borderId="12" xfId="12" applyFont="1" applyFill="1" applyBorder="1" applyAlignment="1" applyProtection="1">
      <alignment horizontal="center" vertical="center"/>
      <protection locked="0"/>
    </xf>
    <xf numFmtId="0" fontId="35" fillId="2" borderId="42" xfId="12" applyFont="1" applyFill="1" applyBorder="1" applyAlignment="1" applyProtection="1">
      <alignment horizontal="center"/>
      <protection locked="0"/>
    </xf>
    <xf numFmtId="0" fontId="35" fillId="2" borderId="49" xfId="12" applyFont="1" applyFill="1" applyBorder="1" applyAlignment="1" applyProtection="1">
      <alignment horizontal="center"/>
      <protection locked="0"/>
    </xf>
    <xf numFmtId="0" fontId="35" fillId="2" borderId="43" xfId="12" applyFont="1" applyFill="1" applyBorder="1" applyAlignment="1" applyProtection="1">
      <alignment horizontal="center"/>
      <protection locked="0"/>
    </xf>
    <xf numFmtId="3" fontId="35" fillId="0" borderId="2" xfId="8" applyNumberFormat="1" applyFont="1" applyBorder="1" applyAlignment="1" applyProtection="1">
      <alignment horizontal="center" vertical="center" wrapText="1"/>
      <protection locked="0"/>
    </xf>
    <xf numFmtId="3" fontId="34" fillId="0" borderId="2" xfId="8" applyNumberFormat="1" applyFont="1" applyBorder="1" applyAlignment="1" applyProtection="1">
      <alignment horizontal="center" vertical="center" wrapText="1"/>
      <protection locked="0"/>
    </xf>
    <xf numFmtId="0" fontId="35" fillId="2" borderId="2" xfId="12" applyFont="1" applyFill="1" applyBorder="1" applyAlignment="1" applyProtection="1">
      <alignment horizontal="center" vertical="center" wrapText="1"/>
      <protection locked="0"/>
    </xf>
    <xf numFmtId="0" fontId="34" fillId="2" borderId="2" xfId="12" applyFont="1" applyFill="1" applyBorder="1" applyAlignment="1" applyProtection="1">
      <alignment horizontal="center" vertical="center" wrapText="1"/>
      <protection locked="0"/>
    </xf>
    <xf numFmtId="0" fontId="35" fillId="0" borderId="10" xfId="12" applyFont="1" applyBorder="1" applyAlignment="1">
      <alignment horizontal="center" vertical="center" wrapText="1"/>
    </xf>
    <xf numFmtId="0" fontId="34" fillId="0" borderId="11" xfId="12" applyFont="1" applyBorder="1" applyAlignment="1">
      <alignment horizontal="center" vertical="center" wrapText="1"/>
    </xf>
    <xf numFmtId="0" fontId="24" fillId="2" borderId="10" xfId="12" applyFont="1" applyFill="1" applyBorder="1" applyAlignment="1">
      <alignment horizontal="center" vertical="center" wrapText="1"/>
    </xf>
    <xf numFmtId="0" fontId="24" fillId="2" borderId="11" xfId="12" applyFont="1" applyFill="1" applyBorder="1" applyAlignment="1">
      <alignment horizontal="center" vertical="center" wrapText="1"/>
    </xf>
    <xf numFmtId="165" fontId="24" fillId="2" borderId="10" xfId="4" applyNumberFormat="1" applyFont="1" applyFill="1" applyBorder="1" applyAlignment="1">
      <alignment horizontal="center" vertical="center" wrapText="1"/>
    </xf>
    <xf numFmtId="165" fontId="25" fillId="2" borderId="11" xfId="4" applyNumberFormat="1" applyFont="1" applyFill="1" applyBorder="1" applyAlignment="1">
      <alignment horizontal="center" vertical="center" wrapText="1"/>
    </xf>
    <xf numFmtId="0" fontId="35" fillId="0" borderId="2" xfId="12" applyFont="1" applyBorder="1" applyAlignment="1" applyProtection="1">
      <alignment horizontal="center" vertical="center" wrapText="1"/>
      <protection locked="0"/>
    </xf>
    <xf numFmtId="0" fontId="34" fillId="0" borderId="2" xfId="12" applyFont="1" applyBorder="1" applyAlignment="1" applyProtection="1">
      <alignment horizontal="center" vertical="center" wrapText="1"/>
      <protection locked="0"/>
    </xf>
    <xf numFmtId="0" fontId="24" fillId="0" borderId="49" xfId="12" applyFont="1" applyBorder="1" applyAlignment="1">
      <alignment horizontal="center"/>
    </xf>
    <xf numFmtId="0" fontId="35" fillId="0" borderId="49" xfId="12" applyFont="1" applyBorder="1" applyAlignment="1">
      <alignment horizontal="center"/>
    </xf>
    <xf numFmtId="0" fontId="35" fillId="0" borderId="43" xfId="12" applyFont="1" applyBorder="1" applyAlignment="1">
      <alignment horizontal="center"/>
    </xf>
    <xf numFmtId="0" fontId="35" fillId="0" borderId="2" xfId="12" applyFont="1" applyBorder="1" applyAlignment="1">
      <alignment horizontal="center"/>
    </xf>
    <xf numFmtId="0" fontId="24" fillId="0" borderId="10" xfId="12" applyFont="1" applyBorder="1" applyAlignment="1">
      <alignment horizontal="center" vertical="center"/>
    </xf>
    <xf numFmtId="0" fontId="24" fillId="0" borderId="11" xfId="12" applyFont="1" applyBorder="1" applyAlignment="1">
      <alignment horizontal="center" vertical="center"/>
    </xf>
    <xf numFmtId="0" fontId="24" fillId="0" borderId="12" xfId="12" applyFont="1" applyBorder="1" applyAlignment="1">
      <alignment horizontal="center" vertical="center"/>
    </xf>
    <xf numFmtId="0" fontId="25" fillId="2" borderId="11" xfId="12" applyFont="1" applyFill="1" applyBorder="1" applyAlignment="1">
      <alignment horizontal="center" vertical="center" wrapText="1"/>
    </xf>
    <xf numFmtId="165" fontId="35" fillId="0" borderId="10" xfId="4" applyNumberFormat="1" applyFont="1" applyBorder="1" applyAlignment="1">
      <alignment horizontal="center" vertical="center" wrapText="1"/>
    </xf>
    <xf numFmtId="165" fontId="34" fillId="0" borderId="11" xfId="4" applyNumberFormat="1" applyFont="1" applyBorder="1" applyAlignment="1">
      <alignment horizontal="center" vertical="center" wrapText="1"/>
    </xf>
    <xf numFmtId="165" fontId="34" fillId="0" borderId="12" xfId="4" applyNumberFormat="1" applyFont="1" applyBorder="1" applyAlignment="1">
      <alignment horizontal="center" vertical="center" wrapText="1"/>
    </xf>
    <xf numFmtId="165" fontId="35" fillId="0" borderId="11" xfId="4" applyNumberFormat="1" applyFont="1" applyBorder="1" applyAlignment="1">
      <alignment horizontal="center" vertical="center" wrapText="1"/>
    </xf>
    <xf numFmtId="165" fontId="35" fillId="0" borderId="12" xfId="4" applyNumberFormat="1" applyFont="1" applyBorder="1" applyAlignment="1">
      <alignment horizontal="center" vertical="center" wrapText="1"/>
    </xf>
    <xf numFmtId="4" fontId="18" fillId="2" borderId="2" xfId="12" applyNumberFormat="1" applyFont="1" applyFill="1" applyBorder="1" applyAlignment="1" applyProtection="1">
      <alignment horizontal="center" vertical="center" wrapText="1"/>
      <protection locked="0"/>
    </xf>
    <xf numFmtId="4" fontId="19" fillId="2" borderId="2" xfId="12" applyNumberFormat="1" applyFont="1" applyFill="1" applyBorder="1" applyAlignment="1" applyProtection="1">
      <alignment horizontal="center" vertical="center" wrapText="1"/>
      <protection locked="0"/>
    </xf>
    <xf numFmtId="4" fontId="19" fillId="2" borderId="10" xfId="12" applyNumberFormat="1" applyFont="1" applyFill="1" applyBorder="1" applyAlignment="1" applyProtection="1">
      <alignment horizontal="center" vertical="center" wrapText="1"/>
      <protection locked="0"/>
    </xf>
    <xf numFmtId="4" fontId="18" fillId="0" borderId="10" xfId="12" applyNumberFormat="1" applyFont="1" applyBorder="1" applyAlignment="1">
      <alignment horizontal="center" vertical="center" wrapText="1"/>
    </xf>
    <xf numFmtId="4" fontId="19" fillId="0" borderId="11" xfId="12" applyNumberFormat="1" applyFont="1" applyBorder="1" applyAlignment="1">
      <alignment horizontal="center" vertical="center" wrapText="1"/>
    </xf>
    <xf numFmtId="4" fontId="18" fillId="2" borderId="10" xfId="12" applyNumberFormat="1" applyFont="1" applyFill="1" applyBorder="1" applyAlignment="1">
      <alignment horizontal="center" vertical="center" wrapText="1"/>
    </xf>
    <xf numFmtId="4" fontId="18" fillId="2" borderId="11" xfId="12" applyNumberFormat="1" applyFont="1" applyFill="1" applyBorder="1" applyAlignment="1">
      <alignment horizontal="center" vertical="center" wrapText="1"/>
    </xf>
    <xf numFmtId="165" fontId="18" fillId="2" borderId="10" xfId="4" applyNumberFormat="1" applyFont="1" applyFill="1" applyBorder="1" applyAlignment="1">
      <alignment horizontal="center" vertical="center" wrapText="1"/>
    </xf>
    <xf numFmtId="165" fontId="19" fillId="2" borderId="11" xfId="4" applyNumberFormat="1" applyFont="1" applyFill="1" applyBorder="1" applyAlignment="1">
      <alignment horizontal="center" vertical="center" wrapText="1"/>
    </xf>
    <xf numFmtId="4" fontId="18" fillId="0" borderId="2" xfId="12" applyNumberFormat="1" applyFont="1" applyBorder="1" applyAlignment="1" applyProtection="1">
      <alignment horizontal="center" vertical="center" wrapText="1"/>
      <protection locked="0"/>
    </xf>
    <xf numFmtId="4" fontId="19" fillId="0" borderId="2" xfId="12" applyNumberFormat="1" applyFont="1" applyBorder="1" applyAlignment="1" applyProtection="1">
      <alignment horizontal="center" vertical="center" wrapText="1"/>
      <protection locked="0"/>
    </xf>
    <xf numFmtId="4" fontId="19" fillId="0" borderId="10" xfId="12" applyNumberFormat="1" applyFont="1" applyBorder="1" applyAlignment="1" applyProtection="1">
      <alignment horizontal="center" vertical="center" wrapText="1"/>
      <protection locked="0"/>
    </xf>
    <xf numFmtId="0" fontId="28" fillId="0" borderId="42" xfId="11" applyFont="1" applyBorder="1" applyAlignment="1">
      <alignment horizontal="center"/>
    </xf>
    <xf numFmtId="0" fontId="28" fillId="0" borderId="49" xfId="11" applyFont="1" applyBorder="1" applyAlignment="1">
      <alignment horizontal="center"/>
    </xf>
    <xf numFmtId="0" fontId="28" fillId="0" borderId="43" xfId="11" applyFont="1" applyBorder="1" applyAlignment="1">
      <alignment horizontal="center"/>
    </xf>
    <xf numFmtId="4" fontId="24" fillId="0" borderId="49" xfId="12" applyNumberFormat="1" applyFont="1" applyBorder="1" applyAlignment="1">
      <alignment horizontal="center"/>
    </xf>
    <xf numFmtId="4" fontId="24" fillId="0" borderId="43" xfId="12" applyNumberFormat="1" applyFont="1" applyBorder="1" applyAlignment="1">
      <alignment horizontal="center"/>
    </xf>
    <xf numFmtId="0" fontId="18" fillId="0" borderId="2" xfId="12" applyFont="1" applyBorder="1" applyAlignment="1">
      <alignment horizontal="center"/>
    </xf>
    <xf numFmtId="0" fontId="18" fillId="0" borderId="10" xfId="12" applyFont="1" applyBorder="1" applyAlignment="1">
      <alignment horizontal="center" vertical="center"/>
    </xf>
    <xf numFmtId="0" fontId="18" fillId="0" borderId="11" xfId="12" applyFont="1" applyBorder="1" applyAlignment="1">
      <alignment horizontal="center" vertical="center"/>
    </xf>
    <xf numFmtId="0" fontId="18" fillId="0" borderId="12" xfId="12" applyFont="1" applyBorder="1" applyAlignment="1">
      <alignment horizontal="center" vertical="center"/>
    </xf>
    <xf numFmtId="4" fontId="19" fillId="2" borderId="11" xfId="12" applyNumberFormat="1" applyFont="1" applyFill="1" applyBorder="1" applyAlignment="1">
      <alignment horizontal="center" vertical="center" wrapText="1"/>
    </xf>
    <xf numFmtId="165" fontId="18" fillId="0" borderId="10" xfId="4" applyNumberFormat="1" applyFont="1" applyBorder="1" applyAlignment="1">
      <alignment horizontal="center" vertical="center" wrapText="1"/>
    </xf>
    <xf numFmtId="165" fontId="18" fillId="0" borderId="11" xfId="4" applyNumberFormat="1" applyFont="1" applyBorder="1" applyAlignment="1">
      <alignment horizontal="center" vertical="center" wrapText="1"/>
    </xf>
    <xf numFmtId="165" fontId="18" fillId="0" borderId="12" xfId="4" applyNumberFormat="1" applyFont="1" applyBorder="1" applyAlignment="1">
      <alignment horizontal="center" vertical="center" wrapText="1"/>
    </xf>
    <xf numFmtId="0" fontId="35" fillId="0" borderId="26" xfId="10" applyFont="1" applyBorder="1" applyAlignment="1">
      <alignment horizontal="center"/>
    </xf>
    <xf numFmtId="0" fontId="34" fillId="0" borderId="4" xfId="10" applyFont="1" applyBorder="1" applyAlignment="1">
      <alignment horizontal="left"/>
    </xf>
    <xf numFmtId="0" fontId="35" fillId="0" borderId="28" xfId="12" applyFont="1" applyBorder="1" applyAlignment="1">
      <alignment horizontal="center"/>
    </xf>
    <xf numFmtId="0" fontId="34" fillId="0" borderId="20" xfId="10" applyFont="1" applyBorder="1" applyAlignment="1">
      <alignment horizontal="left"/>
    </xf>
    <xf numFmtId="0" fontId="35" fillId="0" borderId="12" xfId="12" applyFont="1" applyBorder="1" applyAlignment="1">
      <alignment horizontal="center" vertical="center" wrapText="1"/>
    </xf>
    <xf numFmtId="0" fontId="35" fillId="0" borderId="42" xfId="12" applyFont="1" applyBorder="1" applyAlignment="1">
      <alignment horizontal="center" vertical="center" wrapText="1"/>
    </xf>
    <xf numFmtId="0" fontId="38" fillId="0" borderId="43" xfId="12" applyFont="1" applyBorder="1"/>
    <xf numFmtId="0" fontId="35" fillId="0" borderId="42" xfId="12" applyFont="1" applyBorder="1" applyAlignment="1">
      <alignment horizontal="center"/>
    </xf>
    <xf numFmtId="0" fontId="38" fillId="0" borderId="49" xfId="12" applyFont="1" applyBorder="1"/>
    <xf numFmtId="0" fontId="35" fillId="2" borderId="10" xfId="12" applyFont="1" applyFill="1" applyBorder="1" applyAlignment="1">
      <alignment horizontal="center" vertical="center"/>
    </xf>
    <xf numFmtId="0" fontId="35" fillId="2" borderId="11" xfId="12" applyFont="1" applyFill="1" applyBorder="1" applyAlignment="1">
      <alignment horizontal="center" vertical="center"/>
    </xf>
    <xf numFmtId="0" fontId="35" fillId="2" borderId="12" xfId="12" applyFont="1" applyFill="1" applyBorder="1" applyAlignment="1">
      <alignment horizontal="center" vertical="center"/>
    </xf>
    <xf numFmtId="0" fontId="34" fillId="0" borderId="4" xfId="10" applyFont="1" applyBorder="1" applyAlignment="1">
      <alignment horizontal="left" wrapText="1"/>
    </xf>
    <xf numFmtId="0" fontId="34" fillId="0" borderId="9" xfId="10" applyFont="1" applyBorder="1" applyAlignment="1">
      <alignment horizontal="left" wrapText="1"/>
    </xf>
    <xf numFmtId="0" fontId="35" fillId="0" borderId="80" xfId="12" applyFont="1" applyBorder="1" applyAlignment="1">
      <alignment horizontal="center" vertical="center" wrapText="1"/>
    </xf>
    <xf numFmtId="0" fontId="35" fillId="0" borderId="81" xfId="12" applyFont="1" applyBorder="1" applyAlignment="1">
      <alignment horizontal="center" vertical="center" wrapText="1"/>
    </xf>
    <xf numFmtId="0" fontId="35" fillId="0" borderId="82" xfId="12" applyFont="1" applyBorder="1" applyAlignment="1">
      <alignment horizontal="center" vertical="center" wrapText="1"/>
    </xf>
    <xf numFmtId="0" fontId="35" fillId="0" borderId="2" xfId="12" applyFont="1" applyBorder="1" applyAlignment="1">
      <alignment horizontal="center" vertical="center" wrapText="1"/>
    </xf>
    <xf numFmtId="0" fontId="35" fillId="0" borderId="21" xfId="10" applyFont="1" applyBorder="1" applyAlignment="1">
      <alignment horizontal="center" wrapText="1"/>
    </xf>
    <xf numFmtId="0" fontId="35" fillId="0" borderId="10" xfId="12" applyFont="1" applyBorder="1" applyAlignment="1">
      <alignment horizontal="center" vertical="center"/>
    </xf>
    <xf numFmtId="0" fontId="35" fillId="0" borderId="12" xfId="12" applyFont="1" applyBorder="1" applyAlignment="1">
      <alignment horizontal="center" vertical="center"/>
    </xf>
    <xf numFmtId="0" fontId="35" fillId="0" borderId="11" xfId="12" applyFont="1" applyBorder="1" applyAlignment="1">
      <alignment horizontal="center" vertical="center" wrapText="1"/>
    </xf>
    <xf numFmtId="0" fontId="35" fillId="0" borderId="78" xfId="12" applyFont="1" applyBorder="1" applyAlignment="1">
      <alignment horizontal="center" vertical="center" wrapText="1"/>
    </xf>
    <xf numFmtId="0" fontId="35" fillId="0" borderId="53" xfId="12" applyFont="1" applyBorder="1" applyAlignment="1">
      <alignment horizontal="center" vertical="center" wrapText="1"/>
    </xf>
    <xf numFmtId="0" fontId="36" fillId="0" borderId="8" xfId="10" applyFont="1" applyBorder="1" applyAlignment="1">
      <alignment horizontal="center"/>
    </xf>
    <xf numFmtId="0" fontId="34" fillId="0" borderId="4" xfId="10" applyFont="1" applyBorder="1" applyAlignment="1">
      <alignment horizontal="left" vertical="center" wrapText="1"/>
    </xf>
    <xf numFmtId="0" fontId="34" fillId="0" borderId="83" xfId="10" applyFont="1" applyBorder="1" applyAlignment="1">
      <alignment horizontal="left" wrapText="1"/>
    </xf>
    <xf numFmtId="0" fontId="34" fillId="0" borderId="84" xfId="10" applyFont="1" applyBorder="1" applyAlignment="1">
      <alignment horizontal="left" wrapText="1"/>
    </xf>
    <xf numFmtId="0" fontId="34" fillId="0" borderId="3" xfId="10" applyFont="1" applyBorder="1" applyAlignment="1">
      <alignment horizontal="left"/>
    </xf>
    <xf numFmtId="0" fontId="34" fillId="0" borderId="72" xfId="10" applyFont="1" applyBorder="1" applyAlignment="1">
      <alignment horizontal="left"/>
    </xf>
    <xf numFmtId="0" fontId="35" fillId="0" borderId="74" xfId="12" applyFont="1" applyBorder="1" applyAlignment="1">
      <alignment horizontal="center" vertical="center" wrapText="1"/>
    </xf>
    <xf numFmtId="43" fontId="35" fillId="0" borderId="10" xfId="7" applyNumberFormat="1" applyFont="1" applyBorder="1" applyAlignment="1">
      <alignment horizontal="center" vertical="center" wrapText="1"/>
    </xf>
    <xf numFmtId="43" fontId="35" fillId="0" borderId="12" xfId="7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39" fillId="0" borderId="10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39" fillId="0" borderId="49" xfId="0" applyFont="1" applyBorder="1" applyAlignment="1">
      <alignment horizontal="center" vertical="center"/>
    </xf>
    <xf numFmtId="0" fontId="39" fillId="0" borderId="43" xfId="0" applyFont="1" applyBorder="1" applyAlignment="1">
      <alignment horizontal="center" vertical="center"/>
    </xf>
    <xf numFmtId="0" fontId="18" fillId="0" borderId="0" xfId="10" applyFont="1" applyAlignment="1">
      <alignment horizontal="center"/>
    </xf>
    <xf numFmtId="169" fontId="19" fillId="0" borderId="42" xfId="5" applyNumberFormat="1" applyFont="1" applyFill="1" applyBorder="1" applyAlignment="1" applyProtection="1">
      <alignment horizontal="center" vertical="center"/>
    </xf>
    <xf numFmtId="169" fontId="19" fillId="0" borderId="2" xfId="6" applyNumberFormat="1" applyFont="1" applyFill="1" applyBorder="1" applyAlignment="1" applyProtection="1">
      <alignment horizontal="center" vertical="center"/>
    </xf>
    <xf numFmtId="0" fontId="19" fillId="0" borderId="42" xfId="10" applyFont="1" applyBorder="1" applyAlignment="1">
      <alignment horizontal="center"/>
    </xf>
    <xf numFmtId="0" fontId="19" fillId="0" borderId="43" xfId="10" applyFont="1" applyBorder="1" applyAlignment="1">
      <alignment horizontal="center"/>
    </xf>
  </cellXfs>
  <cellStyles count="13">
    <cellStyle name="Comma" xfId="1" builtinId="3"/>
    <cellStyle name="Comma 2 2" xfId="2" xr:uid="{00000000-0005-0000-0000-000001000000}"/>
    <cellStyle name="Normal" xfId="0" builtinId="0"/>
    <cellStyle name="Normal 2" xfId="3" xr:uid="{00000000-0005-0000-0000-000003000000}"/>
    <cellStyle name="เครื่องหมายจุลภาค 2" xfId="4" xr:uid="{00000000-0005-0000-0000-000004000000}"/>
    <cellStyle name="เครื่องหมายจุลภาค 2 2" xfId="5" xr:uid="{00000000-0005-0000-0000-000005000000}"/>
    <cellStyle name="เครื่องหมายจุลภาค 2 3" xfId="6" xr:uid="{00000000-0005-0000-0000-000006000000}"/>
    <cellStyle name="เครื่องหมายจุลภาค 3" xfId="7" xr:uid="{00000000-0005-0000-0000-000007000000}"/>
    <cellStyle name="เครื่องหมายจุลภาค_ต้นทุน 57" xfId="8" xr:uid="{00000000-0005-0000-0000-000008000000}"/>
    <cellStyle name="เปอร์เซ็นต์ 2" xfId="9" xr:uid="{00000000-0005-0000-0000-000009000000}"/>
    <cellStyle name="ปกติ 2" xfId="10" xr:uid="{00000000-0005-0000-0000-00000A000000}"/>
    <cellStyle name="ปกติ 3" xfId="11" xr:uid="{00000000-0005-0000-0000-00000B000000}"/>
    <cellStyle name="ปกติ_ต้นทุน 57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34;&#3609;&#3649;&#3609;&#3609;&#3611;&#3637;%202569\&#3591;&#3634;&#3609;&#3610;&#3633;&#3597;&#3594;&#3637;&#3649;&#3609;&#3609;2569\&#3591;&#3634;&#3609;&#3611;&#3619;&#3632;&#3592;&#3635;&#3648;&#3604;&#3639;&#3629;&#3609;&#3611;&#3637;&#3591;&#3610;&#3611;&#3619;&#3632;&#3617;&#3634;&#3603;%202569\&#3619;&#3634;&#3618;&#3591;&#3634;&#3609;&#3611;&#3619;&#3632;&#3592;&#3635;&#3648;&#3604;&#3639;&#3629;&#3609;%202569%20&#3651;&#3594;&#3657;&#3605;&#3633;&#3623;&#3609;&#3637;&#3657;\&#3605;&#3657;&#3609;&#3607;&#3640;&#3609;&#3605;&#3656;&#3629;&#3627;&#3609;&#3656;&#3623;&#3618;(&#3626;&#3656;&#3591;&#3651;&#3627;&#3657;&#3585;&#3619;&#3617;&#3631;&#3607;&#3640;&#3585;&#3611;&#3637;)&#3611;&#3637;2561-&#3611;&#3633;&#3592;&#3592;&#3640;&#3610;&#3633;&#3609;\&#3605;&#3657;&#3609;&#3607;&#3640;&#3609;&#3611;&#3637;%202568\&#3650;&#3619;&#3591;&#3614;&#3618;&#3634;&#3610;&#3634;&#3621;&#3617;&#3632;&#3648;&#3619;&#3655;&#3591;&#3621;&#3635;&#3611;&#3634;&#3591;%20&#3605;&#3634;&#3619;&#3634;&#3591;%201%20(1).xls" TargetMode="External"/><Relationship Id="rId1" Type="http://schemas.openxmlformats.org/officeDocument/2006/relationships/externalLinkPath" Target="/&#3591;&#3634;&#3609;&#3649;&#3609;&#3609;&#3611;&#3637;%202569/&#3591;&#3634;&#3609;&#3610;&#3633;&#3597;&#3594;&#3637;&#3649;&#3609;&#3609;2569/&#3591;&#3634;&#3609;&#3611;&#3619;&#3632;&#3592;&#3635;&#3648;&#3604;&#3639;&#3629;&#3609;&#3611;&#3637;&#3591;&#3610;&#3611;&#3619;&#3632;&#3617;&#3634;&#3603;%202569/&#3619;&#3634;&#3618;&#3591;&#3634;&#3609;&#3611;&#3619;&#3632;&#3592;&#3635;&#3648;&#3604;&#3639;&#3629;&#3609;%202569%20&#3651;&#3594;&#3657;&#3605;&#3633;&#3623;&#3609;&#3637;&#3657;/&#3605;&#3657;&#3609;&#3607;&#3640;&#3609;&#3605;&#3656;&#3629;&#3627;&#3609;&#3656;&#3623;&#3618;(&#3626;&#3656;&#3591;&#3651;&#3627;&#3657;&#3585;&#3619;&#3617;&#3631;&#3607;&#3640;&#3585;&#3611;&#3637;)&#3611;&#3637;2561-&#3611;&#3633;&#3592;&#3592;&#3640;&#3610;&#3633;&#3609;/&#3605;&#3657;&#3609;&#3607;&#3640;&#3609;&#3611;&#3637;%202568/&#3650;&#3619;&#3591;&#3614;&#3618;&#3634;&#3610;&#3634;&#3621;&#3617;&#3632;&#3648;&#3619;&#3655;&#3591;&#3621;&#3635;&#3611;&#3634;&#3591;%20&#3605;&#3634;&#3619;&#3634;&#3591;%201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613;&#3656;&#3634;&#3618;&#3585;&#3634;&#3619;&#3648;&#3591;&#3636;&#3609;&#3649;&#3621;&#3632;&#3610;&#3633;&#3597;&#3594;&#3637;/&#3588;&#3585;&#3585;.&#3605;&#3657;&#3609;&#3607;&#3640;&#3609;&#3605;&#3656;&#3629;&#3627;&#3609;&#3656;&#3623;&#3618;/&#3605;&#3657;&#3609;&#3607;&#3640;&#3609;&#3611;&#3619;&#3632;&#3592;&#3635;&#3611;&#3637;&#3591;&#3610;&#3611;&#3619;&#3632;&#3617;&#3634;&#3603;/&#3591;&#3611;&#3617;.%2057/&#3605;&#3657;&#3609;&#3607;&#3640;&#3609;&#3611;&#3619;&#3632;&#3592;&#3635;&#3611;&#3637;%20&#3591;&#3611;&#3617;.%20255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าราง 1"/>
      <sheetName val="table1"/>
      <sheetName val="รายงานต้นทุนตามแหล่งเงิน"/>
      <sheetName val="รายการที่ตัดออก"/>
      <sheetName val="NEW GFMIS"/>
      <sheetName val="NEW GFMIS (2)"/>
    </sheetNames>
    <sheetDataSet>
      <sheetData sheetId="0">
        <row r="24">
          <cell r="C24">
            <v>90008548.470000014</v>
          </cell>
        </row>
        <row r="25">
          <cell r="C25">
            <v>5250292.8</v>
          </cell>
        </row>
        <row r="26">
          <cell r="C26">
            <v>10145834.084226945</v>
          </cell>
        </row>
      </sheetData>
      <sheetData sheetId="1">
        <row r="2">
          <cell r="B2">
            <v>10890607.239999998</v>
          </cell>
          <cell r="C2">
            <v>46646923.589999996</v>
          </cell>
          <cell r="D2">
            <v>1397559.5299999998</v>
          </cell>
        </row>
        <row r="3">
          <cell r="B3">
            <v>379938</v>
          </cell>
          <cell r="C3">
            <v>9138886.2800000012</v>
          </cell>
        </row>
        <row r="4">
          <cell r="B4">
            <v>477822</v>
          </cell>
          <cell r="C4">
            <v>461315.41</v>
          </cell>
        </row>
        <row r="6">
          <cell r="B6">
            <v>41215561.81000001</v>
          </cell>
          <cell r="C6">
            <v>42620577.799999997</v>
          </cell>
          <cell r="D6">
            <v>105969.86000000002</v>
          </cell>
        </row>
        <row r="7">
          <cell r="C7">
            <v>966442</v>
          </cell>
        </row>
        <row r="8">
          <cell r="B8">
            <v>10</v>
          </cell>
          <cell r="C8">
            <v>111815.28</v>
          </cell>
        </row>
        <row r="9">
          <cell r="B9">
            <v>1</v>
          </cell>
          <cell r="C9">
            <v>1</v>
          </cell>
        </row>
        <row r="10">
          <cell r="C10">
            <v>14280</v>
          </cell>
        </row>
      </sheetData>
      <sheetData sheetId="2">
        <row r="17">
          <cell r="H17">
            <v>2523295</v>
          </cell>
          <cell r="I17">
            <v>152598672.00000003</v>
          </cell>
        </row>
        <row r="20">
          <cell r="C20">
            <v>33500</v>
          </cell>
          <cell r="D20">
            <v>34788754.299999997</v>
          </cell>
        </row>
        <row r="22">
          <cell r="C22">
            <v>987283</v>
          </cell>
          <cell r="I22">
            <v>9410534.1899999995</v>
          </cell>
        </row>
      </sheetData>
      <sheetData sheetId="3" refreshError="1"/>
      <sheetData sheetId="4">
        <row r="10624">
          <cell r="E10624">
            <v>968239757.98000002</v>
          </cell>
        </row>
      </sheetData>
      <sheetData sheetId="5">
        <row r="10231">
          <cell r="E10231">
            <v>11600</v>
          </cell>
        </row>
        <row r="10233">
          <cell r="L10233">
            <v>16116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ตาราง 1 กรมฯ"/>
      <sheetName val="table1"/>
      <sheetName val="Sheet2"/>
      <sheetName val="รายการที่ตัดออก"/>
      <sheetName val="ข้อมูล GF"/>
      <sheetName val="ตาราง 1"/>
      <sheetName val="1.1"/>
      <sheetName val="ตาราง 2"/>
      <sheetName val="ตาราง3 "/>
      <sheetName val="3.1"/>
      <sheetName val="3.2"/>
      <sheetName val="ตาราง4"/>
      <sheetName val="4.1"/>
      <sheetName val="ตาราง5"/>
      <sheetName val="ตาราง 6"/>
      <sheetName val="ตาราง 7"/>
      <sheetName val="ตาราง 8"/>
      <sheetName val="ตาราง 9"/>
      <sheetName val="ตาราง10"/>
      <sheetName val="ตาราง 11"/>
      <sheetName val="ตาราง 12 "/>
      <sheetName val="บุคคลากร (คชจ..ตรง) (3)"/>
      <sheetName val="ปันส่วนเงินงบประมาณ_2"/>
      <sheetName val="ปันส่วนเงินนอกงบประมาณ"/>
      <sheetName val="บุคคลากร (คชจ..ตรง)"/>
      <sheetName val="บุคคลากร (คชจ..ตรง) (2)"/>
      <sheetName val="รายชื่อ จนท.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A5" t="str">
            <v>1.กลุ่มงานมะเร็งนรีเวช</v>
          </cell>
          <cell r="B5" t="str">
            <v>1.1 การตรวจคัดกรองมะเร็งปากมดลูกระยะเริ่มแรก</v>
          </cell>
        </row>
        <row r="6">
          <cell r="A6" t="str">
            <v>2.กลุ่มงานศัลยศาสตร์</v>
          </cell>
          <cell r="B6" t="str">
            <v xml:space="preserve">2.1. การบริการผ่าตัดวินิจโรค  ค้นหาโรคมะเร็ง  </v>
          </cell>
        </row>
        <row r="7">
          <cell r="A7" t="str">
            <v>3.กลุ่มงานวิสัญญีวิทยา</v>
          </cell>
          <cell r="B7" t="str">
            <v>3.1. ให้บริการการพยาบาลผู้ป่วยที่ได้รับการระงับความรู้สึกทุกประเภท</v>
          </cell>
        </row>
        <row r="8">
          <cell r="A8" t="str">
            <v>4.กลุ่มงานอายุรศาสตร์</v>
          </cell>
          <cell r="B8" t="str">
            <v>4.1 ให้บริการรักษาผู้ป่วยนอก</v>
          </cell>
        </row>
        <row r="9">
          <cell r="B9" t="str">
            <v>4.2 ให้บริการรักษาผู้ป่วยใน</v>
          </cell>
        </row>
        <row r="10">
          <cell r="A10" t="str">
            <v>5.กลุ่มงานเคมีบำบัด</v>
          </cell>
          <cell r="B10" t="str">
            <v>5.1 ให้บริการรักษาผู้ป่วยโรคมะเร็งด้วยยาเคมีบำบัด ผู้ป่วยนอก</v>
          </cell>
        </row>
        <row r="11">
          <cell r="B11" t="str">
            <v>5.2 .ให้บริการรักษาผู้ป่วยโรคมะเร็งด้วยยาเคมีบำบัด ผู้ป่วยใน</v>
          </cell>
        </row>
        <row r="12">
          <cell r="A12" t="str">
            <v>6.กลุ่มงานโสต ศอ นาสิก</v>
          </cell>
          <cell r="B12" t="str">
            <v>6.1. ให้บริการผู้ป่วยมะเร็งโสต ศอ นาสิก ด้วยรังสีรักษา</v>
          </cell>
          <cell r="F12">
            <v>0</v>
          </cell>
        </row>
        <row r="13">
          <cell r="A13" t="str">
            <v>7.กลุ่มงานรังสีรักษา</v>
          </cell>
          <cell r="B13" t="str">
            <v>7.1 ให้บริการรักษาด้านรังสีรักษาผู้ป่วยนอก</v>
          </cell>
        </row>
        <row r="15">
          <cell r="B15" t="str">
            <v>8.1 บริการตรวจค้นหาและศึกษาวิเคราะห์ความผิดปกติจากภาพถ่ายเอกซเรย์ปอด</v>
          </cell>
        </row>
        <row r="16">
          <cell r="B16" t="str">
            <v>8.2 ให้บริการตรวจค้นหา ศึกษา วิเคราะห์มะเร็งของงานเอกซเรย์พิเศษ</v>
          </cell>
        </row>
        <row r="17">
          <cell r="B17" t="str">
            <v>8.3. ให้บริการตรวจด้วยคลื่นเสียงความถี่สูง</v>
          </cell>
        </row>
        <row r="18">
          <cell r="B18" t="str">
            <v>8.4 .ให้บริการตรวจเพื่อค้นหา รวมทั้งศึกษา วิเคราะห์โรคมะเร็งเต้านมและความผิดปกติของ</v>
          </cell>
        </row>
        <row r="19">
          <cell r="B19" t="str">
            <v>เต้านมจากการถ่ายเอกซเรย์เต้านม</v>
          </cell>
        </row>
        <row r="20">
          <cell r="A20" t="str">
            <v>9. กลุ่มงานเวชศาสตร์นิวเคลียร์</v>
          </cell>
          <cell r="B20" t="str">
            <v>9.1. ให้บริการตรวจวินิจฉัยและรักษาผู้ป่วยด้านเวชศาสตร์นิวเคลียร์</v>
          </cell>
        </row>
        <row r="49">
          <cell r="A49" t="str">
            <v>1.สำนักผู้อำนวยการ</v>
          </cell>
          <cell r="B49" t="str">
            <v>1.1. ควบคุม กำกับ ดูแลการบริหารงานให้เป็นไปตามภาระกิจของโรงพยาบาล</v>
          </cell>
        </row>
        <row r="50">
          <cell r="A50" t="str">
            <v>2.ฝ่ายบริหารทั่วไป</v>
          </cell>
          <cell r="B50" t="str">
            <v>2.1. ตรวจสอบและกลั่นกรองเรื่องต่างๆ เพื่อเสนอผู้บังคับบัญชา สั่งการ</v>
          </cell>
        </row>
        <row r="51">
          <cell r="A51" t="str">
            <v>3.งานธุรการ</v>
          </cell>
          <cell r="B51" t="str">
            <v>3.1. ร่างโต้ตอบหนังสือ ภายในหน่วยงานและ ภายนอกหน่วยงาน</v>
          </cell>
        </row>
        <row r="52">
          <cell r="B52" t="str">
            <v>3.2.  รับ  ส่งจดหมาย พัสดุ ไปรษณีย์ของทางราชการ</v>
          </cell>
        </row>
        <row r="53">
          <cell r="A53" t="str">
            <v>4.งานยานพาหนะ</v>
          </cell>
          <cell r="B53" t="str">
            <v>4.1. ให้บริการเจ้าหน้าที่ภายในจังหวัด</v>
          </cell>
        </row>
        <row r="54">
          <cell r="B54" t="str">
            <v>4.2. ให้บริการเจ้าหน้าที่ต่างจังหวัด</v>
          </cell>
        </row>
        <row r="55">
          <cell r="A55" t="str">
            <v>5.งานวิศวกรรมบริการ</v>
          </cell>
          <cell r="B55" t="str">
            <v>5.1.  ดูแล บำรุงรักษาเครื่องมือทางการแพทย์ต่างๆ</v>
          </cell>
        </row>
        <row r="56">
          <cell r="B56" t="str">
            <v>6.1. จำนวนรายการเอกสารเบิกจ่ายเงินในระบบ GFMIS</v>
          </cell>
        </row>
        <row r="57">
          <cell r="B57" t="str">
            <v>7.1. จำนวนครั้งของการจัดซื้อในระบบ GFMIS</v>
          </cell>
        </row>
        <row r="58">
          <cell r="B58" t="str">
            <v>8.1. จัดทำแผนเงินงบประมาณ/เงินบำรุง</v>
          </cell>
        </row>
        <row r="59">
          <cell r="B59" t="str">
            <v>8.2. ตรวจสอบและรายงานผลการดำเนินงาน</v>
          </cell>
        </row>
        <row r="60">
          <cell r="B60" t="str">
            <v>9.1. ประสานสิทธิและส่งต่อผู้ป่วย</v>
          </cell>
        </row>
        <row r="61">
          <cell r="B61" t="str">
            <v>9.2. ดำเนินการเรียกเก็บเงินค่ารักษาพยาบาลสิทธิทุกประเภท</v>
          </cell>
        </row>
        <row r="62">
          <cell r="B62" t="str">
            <v>10.1. จำนวนบุคคลากรเดินทางไปประชุม/สัมมนา</v>
          </cell>
        </row>
        <row r="63">
          <cell r="B63" t="str">
            <v>11.1. ดำเนินการเกี่ยวกับการพัฒนาทรัพยากรบุคคลในหน่วยงาน</v>
          </cell>
        </row>
        <row r="64">
          <cell r="B64" t="str">
            <v>12.1. ดำเนินการเกี่ยวกับการประเมินผลการปฏิบัติงานและสมรรถนะเพื่อการเลื่อนเงินเดือน</v>
          </cell>
        </row>
        <row r="65">
          <cell r="A65" t="str">
            <v>13.งานประชาสัมพันธ์</v>
          </cell>
          <cell r="B65" t="str">
            <v>13.1. บริการต้อนรับผู้ป่วยนอก</v>
          </cell>
        </row>
        <row r="66">
          <cell r="A66" t="str">
            <v>14.งานเลขานุการ</v>
          </cell>
          <cell r="B66" t="str">
            <v>14.1. ตรวจสอบและกลั่นกรองหนังสือเพื่อเสนอผู้อำนวยการ</v>
          </cell>
        </row>
        <row r="67">
          <cell r="B67" t="str">
            <v>15.1. ให้รหัสโรคตามบัญชีจำแนกโรคของผู้ป่วยนอก</v>
          </cell>
        </row>
        <row r="68">
          <cell r="B68" t="str">
            <v>15.2. ให้รหัสโรคตามบัญชีจำแนกโรคของผู้ป่วยใน</v>
          </cell>
        </row>
        <row r="69">
          <cell r="A69" t="str">
            <v>16.งานเวชระเบียนและสถิติ</v>
          </cell>
        </row>
        <row r="72">
          <cell r="A72" t="str">
            <v>17.งานทะเบียนมะเร็ง</v>
          </cell>
        </row>
      </sheetData>
      <sheetData sheetId="9" refreshError="1"/>
      <sheetData sheetId="10" refreshError="1">
        <row r="5">
          <cell r="A5" t="str">
            <v>1.1 การตรวจคัดกรองมะเร็งปากมดลูกระยะเริ่มแรก</v>
          </cell>
        </row>
        <row r="8">
          <cell r="A8" t="str">
            <v xml:space="preserve">2.1. การบริการผ่าตัดวินิจโรค  ค้นหาโรคมะเร็ง  </v>
          </cell>
        </row>
        <row r="11">
          <cell r="A11" t="str">
            <v>3.1. ให้บริการการพยาบาลผู้ป่วยที่ได้รับการระงับความรู้สึกทุกประเภท</v>
          </cell>
        </row>
        <row r="14">
          <cell r="A14" t="str">
            <v>4.1 ให้บริการรักษาผู้ป่วยนอก</v>
          </cell>
        </row>
        <row r="15">
          <cell r="A15" t="str">
            <v>4.2 ให้บริการรักษาผู้ป่วยใน</v>
          </cell>
        </row>
        <row r="18">
          <cell r="A18" t="str">
            <v>5.1 ให้บริการรักษาผู้ป่วยโรคมะเร็งด้วยยาเคมีบำบัด ผู้ป่วยนอก</v>
          </cell>
        </row>
        <row r="19">
          <cell r="A19" t="str">
            <v>5.2 .ให้บริการรักษาผู้ป่วยโรคมะเร็งด้วยยาเคมีบำบัด ผู้ป่วยใน</v>
          </cell>
        </row>
        <row r="22">
          <cell r="A22" t="str">
            <v>6.1. ให้บริการผู้ป่วยมะเร็งโสต ศอ นาสิก ด้วยรังสีรักษา</v>
          </cell>
        </row>
        <row r="33">
          <cell r="A33" t="str">
            <v>8.1 บริการตรวจค้นหาและศึกษาวิเคราะห์ความผิดปกติจากภาพถ่ายเอกซเรย์ปอด</v>
          </cell>
        </row>
        <row r="34">
          <cell r="A34" t="str">
            <v>8.2 ให้บริการตรวจค้นหา ศึกษา วิเคราะห์มะเร็งของงานเอกซเรย์พิเศษ</v>
          </cell>
        </row>
        <row r="35">
          <cell r="A35" t="str">
            <v>8.3. ให้บริการตรวจด้วยคลื่นเสียงความถี่สูง</v>
          </cell>
        </row>
        <row r="36">
          <cell r="A36" t="str">
            <v>8.4 .ให้บริการตรวจเพื่อค้นหา รวมทั้งศึกษา วิเคราะห์โรคมะเร็งเต้านมและความผิดปกติของ</v>
          </cell>
        </row>
        <row r="37">
          <cell r="A37" t="str">
            <v>เต้านมจากการถ่ายเอกซเรย์เต้านม</v>
          </cell>
        </row>
        <row r="40">
          <cell r="A40" t="str">
            <v>9.1. ให้บริการตรวจวินิจฉัยและรักษาผู้ป่วยด้านเวชศาสตร์นิวเคลียร์</v>
          </cell>
        </row>
        <row r="43">
          <cell r="A43" t="str">
            <v>10.1 บริการตรวจวินิจฉัยและค้นหาโรคมะเร็งงานพยาธิวิทยาคลินิค</v>
          </cell>
        </row>
        <row r="108">
          <cell r="A108" t="str">
            <v>ศูนย์ต้นทุนสนับสนุน</v>
          </cell>
        </row>
        <row r="110">
          <cell r="A110" t="str">
            <v>1.1. ควบคุม กำกับ ดูแลการบริหารงานให้เป็นไปตามภาระกิจของโรงพยาบาล</v>
          </cell>
        </row>
        <row r="113">
          <cell r="A113" t="str">
            <v>2.1. ตรวจสอบและกลั่นกรองเรื่องต่างๆ เพื่อเสนอผู้บังคับบัญชา สั่งการ</v>
          </cell>
        </row>
        <row r="116">
          <cell r="A116" t="str">
            <v>3.1. ร่างโต้ตอบหนังสือ ภายในหน่วยงานและ ภายนอกหน่วยงาน</v>
          </cell>
        </row>
        <row r="117">
          <cell r="A117" t="str">
            <v>3.2.  รับ  ส่งจดหมาย พัสดุ ไปรษณีย์ของทางราชการ</v>
          </cell>
        </row>
        <row r="123">
          <cell r="A123" t="str">
            <v>4.1. ให้บริการเจ้าหน้าที่ภายในจังหวัด</v>
          </cell>
        </row>
        <row r="124">
          <cell r="A124" t="str">
            <v>4.2. ให้บริการเจ้าหน้าที่ต่างจังหวัด</v>
          </cell>
        </row>
        <row r="127">
          <cell r="A127" t="str">
            <v>5.1.  ดูแล บำรุงรักษาเครื่องมือทางการแพทย์ต่างๆ</v>
          </cell>
        </row>
        <row r="130">
          <cell r="A130" t="str">
            <v>6.1. จำนวนรายการเอกสารเบิกจ่ายเงินในระบบ GFMIS</v>
          </cell>
        </row>
        <row r="133">
          <cell r="A133" t="str">
            <v>7.1. จำนวนครั้งของการจัดซื้อในระบบ GFMIS</v>
          </cell>
        </row>
        <row r="136">
          <cell r="A136" t="str">
            <v>8.1. จัดทำแผนเงินงบประมาณ/เงินบำรุง</v>
          </cell>
        </row>
        <row r="137">
          <cell r="A137" t="str">
            <v>8.2. ตรวจสอบและรายงานผลการดำเนินงาน</v>
          </cell>
        </row>
        <row r="140">
          <cell r="A140" t="str">
            <v>9.1. ประสานสิทธิและส่งต่อผู้ป่วย</v>
          </cell>
        </row>
        <row r="141">
          <cell r="A141" t="str">
            <v>9.2. ดำเนินการเรียกเก็บเงินค่ารักษาพยาบาลสิทธิทุกประเภท</v>
          </cell>
        </row>
        <row r="144">
          <cell r="A144" t="str">
            <v>10.1. จำนวนบุคคลากรเดินทางไปประชุม/สัมมนา</v>
          </cell>
        </row>
        <row r="147">
          <cell r="A147" t="str">
            <v>11.1. ดำเนินการเกี่ยวกับการพัฒนาทรัพยากรบุคคลในหน่วยงาน</v>
          </cell>
        </row>
        <row r="150">
          <cell r="A150" t="str">
            <v>12.1. ดำเนินการเกี่ยวกับการประเมินผลการปฏิบัติงานและสมรรถนะเพื่อการเลื่อนเงินเดือน</v>
          </cell>
        </row>
        <row r="153">
          <cell r="A153" t="str">
            <v>13.1. บริการต้อนรับผู้ป่วยนอก</v>
          </cell>
        </row>
        <row r="156">
          <cell r="A156" t="str">
            <v>14.1. ตรวจสอบและกลั่นกรองหนังสือเพื่อเสนอผู้อำนวยการ</v>
          </cell>
        </row>
        <row r="159">
          <cell r="A159" t="str">
            <v>15.1. ให้รหัสโรคตามบัญชีจำแนกโรคของผู้ป่วยนอก</v>
          </cell>
        </row>
        <row r="160">
          <cell r="A160" t="str">
            <v>15.2. ให้รหัสโรคตามบัญชีจำแนกโรคของผู้ป่วยใน</v>
          </cell>
        </row>
        <row r="168">
          <cell r="A168" t="str">
            <v>17.1.ด้านจัดการข้อมูล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V39"/>
  <sheetViews>
    <sheetView zoomScale="120" zoomScaleNormal="120" workbookViewId="0">
      <selection activeCell="G29" sqref="G29"/>
    </sheetView>
  </sheetViews>
  <sheetFormatPr defaultRowHeight="24.95" customHeight="1"/>
  <cols>
    <col min="1" max="1" width="3.28515625" style="2" bestFit="1" customWidth="1"/>
    <col min="2" max="2" width="46.5703125" style="2" bestFit="1" customWidth="1"/>
    <col min="3" max="3" width="18.7109375" style="2" customWidth="1"/>
    <col min="4" max="4" width="19.42578125" style="2" customWidth="1"/>
    <col min="5" max="5" width="17.7109375" style="2" customWidth="1"/>
    <col min="6" max="6" width="19" style="2" customWidth="1"/>
    <col min="7" max="8" width="9.140625" style="1"/>
    <col min="9" max="16384" width="9.140625" style="2"/>
  </cols>
  <sheetData>
    <row r="1" spans="1:256" ht="30.75">
      <c r="A1" s="944" t="s">
        <v>224</v>
      </c>
      <c r="B1" s="944"/>
      <c r="C1" s="944"/>
      <c r="D1" s="944"/>
      <c r="E1" s="944"/>
      <c r="F1" s="944"/>
    </row>
    <row r="2" spans="1:256" ht="27.75">
      <c r="A2" s="945" t="s">
        <v>1464</v>
      </c>
      <c r="B2" s="945"/>
      <c r="C2" s="945"/>
      <c r="D2" s="945"/>
      <c r="E2" s="945"/>
      <c r="F2" s="945"/>
      <c r="G2" s="12"/>
      <c r="H2" s="12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spans="1:256" ht="24">
      <c r="E3" s="946" t="s">
        <v>4</v>
      </c>
      <c r="F3" s="946"/>
    </row>
    <row r="4" spans="1:256" ht="24.95" customHeight="1">
      <c r="A4" s="947" t="s">
        <v>5</v>
      </c>
      <c r="B4" s="947"/>
      <c r="C4" s="3" t="s">
        <v>3</v>
      </c>
      <c r="D4" s="3" t="s">
        <v>2</v>
      </c>
      <c r="E4" s="3" t="s">
        <v>0</v>
      </c>
      <c r="F4" s="3" t="s">
        <v>1</v>
      </c>
      <c r="G4" s="4"/>
      <c r="H4" s="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</row>
    <row r="5" spans="1:256" ht="24.95" customHeight="1">
      <c r="A5" s="20" t="s">
        <v>6</v>
      </c>
      <c r="B5" s="23" t="s">
        <v>7</v>
      </c>
      <c r="C5" s="24">
        <v>93922750.620000005</v>
      </c>
      <c r="D5" s="24">
        <v>35125236.979999997</v>
      </c>
      <c r="E5" s="24">
        <v>12476813.82</v>
      </c>
      <c r="F5" s="25">
        <f>SUM(C5:E5)</f>
        <v>141524801.41999999</v>
      </c>
      <c r="G5" s="42"/>
      <c r="H5" s="42"/>
    </row>
    <row r="6" spans="1:256" ht="24.95" customHeight="1">
      <c r="A6" s="16" t="s">
        <v>8</v>
      </c>
      <c r="B6" s="26" t="s">
        <v>9</v>
      </c>
      <c r="C6" s="27">
        <v>107445</v>
      </c>
      <c r="D6" s="27">
        <v>4881375.49</v>
      </c>
      <c r="E6" s="27"/>
      <c r="F6" s="28">
        <f t="shared" ref="F6:F16" si="0">SUM(C6:E6)</f>
        <v>4988820.49</v>
      </c>
      <c r="G6" s="42"/>
      <c r="H6" s="42"/>
    </row>
    <row r="7" spans="1:256" ht="24.95" customHeight="1">
      <c r="A7" s="16" t="s">
        <v>10</v>
      </c>
      <c r="B7" s="26" t="s">
        <v>11</v>
      </c>
      <c r="C7" s="29">
        <v>230041</v>
      </c>
      <c r="D7" s="29">
        <v>1697768.28</v>
      </c>
      <c r="E7" s="29"/>
      <c r="F7" s="28">
        <f t="shared" si="0"/>
        <v>1927809.28</v>
      </c>
      <c r="G7" s="42"/>
      <c r="H7" s="42"/>
    </row>
    <row r="8" spans="1:256" ht="24.95" customHeight="1">
      <c r="A8" s="16" t="s">
        <v>12</v>
      </c>
      <c r="B8" s="26" t="s">
        <v>13</v>
      </c>
      <c r="C8" s="29">
        <v>4739249</v>
      </c>
      <c r="D8" s="29">
        <v>130387419.95999999</v>
      </c>
      <c r="E8" s="29"/>
      <c r="F8" s="28">
        <f t="shared" si="0"/>
        <v>135126668.95999998</v>
      </c>
      <c r="G8" s="42"/>
      <c r="H8" s="42"/>
    </row>
    <row r="9" spans="1:256" ht="24.95" customHeight="1">
      <c r="A9" s="16" t="s">
        <v>14</v>
      </c>
      <c r="B9" s="26" t="s">
        <v>15</v>
      </c>
      <c r="C9" s="30">
        <v>1745531.15</v>
      </c>
      <c r="D9" s="30">
        <v>8344955.2599999998</v>
      </c>
      <c r="E9" s="30"/>
      <c r="F9" s="28">
        <f t="shared" si="0"/>
        <v>10090486.41</v>
      </c>
      <c r="G9" s="42"/>
      <c r="H9" s="42"/>
    </row>
    <row r="10" spans="1:256" ht="24.95" customHeight="1">
      <c r="A10" s="16" t="s">
        <v>16</v>
      </c>
      <c r="B10" s="26" t="s">
        <v>17</v>
      </c>
      <c r="C10" s="30">
        <v>235050</v>
      </c>
      <c r="D10" s="30">
        <v>24848959.16</v>
      </c>
      <c r="E10" s="30"/>
      <c r="F10" s="28">
        <f t="shared" si="0"/>
        <v>25084009.16</v>
      </c>
      <c r="G10" s="42"/>
      <c r="H10" s="42"/>
    </row>
    <row r="11" spans="1:256" ht="24.95" customHeight="1">
      <c r="A11" s="16" t="s">
        <v>18</v>
      </c>
      <c r="B11" s="26" t="s">
        <v>19</v>
      </c>
      <c r="C11" s="29">
        <v>79174051.459999993</v>
      </c>
      <c r="D11" s="29">
        <v>42477345.670000002</v>
      </c>
      <c r="E11" s="29">
        <v>105969.86</v>
      </c>
      <c r="F11" s="28">
        <f t="shared" si="0"/>
        <v>121757366.98999999</v>
      </c>
      <c r="G11" s="42"/>
      <c r="H11" s="42"/>
    </row>
    <row r="12" spans="1:256" ht="24.95" customHeight="1">
      <c r="A12" s="16" t="s">
        <v>20</v>
      </c>
      <c r="B12" s="26" t="s">
        <v>21</v>
      </c>
      <c r="C12" s="29">
        <v>0</v>
      </c>
      <c r="D12" s="29">
        <v>450582.05</v>
      </c>
      <c r="E12" s="29"/>
      <c r="F12" s="28">
        <f t="shared" si="0"/>
        <v>450582.05</v>
      </c>
      <c r="G12" s="42"/>
      <c r="H12" s="42"/>
    </row>
    <row r="13" spans="1:256" ht="24.95" customHeight="1">
      <c r="A13" s="16" t="s">
        <v>22</v>
      </c>
      <c r="B13" s="26" t="s">
        <v>23</v>
      </c>
      <c r="C13" s="30">
        <v>0</v>
      </c>
      <c r="D13" s="30">
        <v>0</v>
      </c>
      <c r="E13" s="30"/>
      <c r="F13" s="28">
        <f t="shared" si="0"/>
        <v>0</v>
      </c>
      <c r="G13" s="42"/>
      <c r="H13" s="42"/>
    </row>
    <row r="14" spans="1:256" ht="24.95" customHeight="1">
      <c r="A14" s="16" t="s">
        <v>24</v>
      </c>
      <c r="B14" s="26" t="s">
        <v>25</v>
      </c>
      <c r="C14" s="17">
        <v>1</v>
      </c>
      <c r="D14" s="17">
        <v>0</v>
      </c>
      <c r="E14" s="17"/>
      <c r="F14" s="28">
        <f t="shared" si="0"/>
        <v>1</v>
      </c>
    </row>
    <row r="15" spans="1:256" ht="24.95" customHeight="1">
      <c r="A15" s="16" t="s">
        <v>26</v>
      </c>
      <c r="B15" s="26" t="s">
        <v>27</v>
      </c>
      <c r="C15" s="17">
        <v>0</v>
      </c>
      <c r="D15" s="17">
        <v>0</v>
      </c>
      <c r="E15" s="17"/>
      <c r="F15" s="28">
        <f t="shared" si="0"/>
        <v>0</v>
      </c>
    </row>
    <row r="16" spans="1:256" ht="24.95" customHeight="1">
      <c r="A16" s="18" t="s">
        <v>28</v>
      </c>
      <c r="B16" s="31" t="s">
        <v>29</v>
      </c>
      <c r="C16" s="19">
        <v>130</v>
      </c>
      <c r="D16" s="19">
        <v>8130991</v>
      </c>
      <c r="E16" s="19"/>
      <c r="F16" s="61">
        <f t="shared" si="0"/>
        <v>8131121</v>
      </c>
    </row>
    <row r="17" spans="1:256" ht="24.95" customHeight="1" thickBot="1">
      <c r="A17" s="948" t="s">
        <v>30</v>
      </c>
      <c r="B17" s="948"/>
      <c r="C17" s="32">
        <f>SUM(C5:C16)</f>
        <v>180154249.23000002</v>
      </c>
      <c r="D17" s="32">
        <f>SUM(D5:D16)</f>
        <v>256344633.84999996</v>
      </c>
      <c r="E17" s="32">
        <f>SUM(E5:E16)</f>
        <v>12582783.68</v>
      </c>
      <c r="F17" s="33">
        <f>SUM(F5:F16)</f>
        <v>449081666.76000005</v>
      </c>
      <c r="G17" s="6"/>
      <c r="H17" s="6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spans="1:256" ht="24.95" customHeight="1" thickTop="1">
      <c r="C18" s="14"/>
      <c r="D18" s="14"/>
      <c r="E18" s="14"/>
      <c r="F18" s="14"/>
      <c r="G18" s="8"/>
      <c r="H18" s="8"/>
    </row>
    <row r="19" spans="1:256" ht="24">
      <c r="G19" s="2"/>
      <c r="H19" s="8"/>
    </row>
    <row r="20" spans="1:256" ht="24">
      <c r="A20" s="943" t="s">
        <v>31</v>
      </c>
      <c r="B20" s="943"/>
      <c r="C20" s="943"/>
      <c r="D20" s="943"/>
      <c r="E20" s="943"/>
      <c r="F20" s="9"/>
      <c r="G20" s="2"/>
      <c r="H20" s="8"/>
    </row>
    <row r="21" spans="1:256" ht="24"/>
    <row r="22" spans="1:256" ht="24">
      <c r="B22" s="7" t="s">
        <v>32</v>
      </c>
      <c r="C22" s="34"/>
      <c r="D22" s="34">
        <v>807587070.42999995</v>
      </c>
    </row>
    <row r="23" spans="1:256" ht="24">
      <c r="B23" s="2" t="s">
        <v>36</v>
      </c>
      <c r="C23" s="35"/>
      <c r="D23" s="36"/>
    </row>
    <row r="24" spans="1:256" ht="24">
      <c r="B24" s="2" t="s">
        <v>187</v>
      </c>
      <c r="C24" s="35">
        <v>76311584.890000001</v>
      </c>
      <c r="D24" s="36"/>
    </row>
    <row r="25" spans="1:256" ht="24">
      <c r="B25" s="2" t="s">
        <v>33</v>
      </c>
      <c r="C25" s="35">
        <v>7739660</v>
      </c>
      <c r="D25" s="36"/>
    </row>
    <row r="26" spans="1:256" ht="26.25">
      <c r="B26" s="2" t="s">
        <v>34</v>
      </c>
      <c r="C26" s="15">
        <v>10649794.32</v>
      </c>
      <c r="D26" s="36">
        <f>SUM(C24:C26)</f>
        <v>94701039.210000008</v>
      </c>
      <c r="E26" s="14"/>
      <c r="F26" s="14"/>
    </row>
    <row r="27" spans="1:256" ht="24">
      <c r="B27" s="37" t="s">
        <v>35</v>
      </c>
      <c r="C27" s="36"/>
      <c r="D27" s="36"/>
    </row>
    <row r="28" spans="1:256" s="10" customFormat="1" ht="48">
      <c r="B28" s="38" t="s">
        <v>128</v>
      </c>
      <c r="C28" s="22">
        <v>52960</v>
      </c>
      <c r="D28" s="39"/>
      <c r="G28" s="11"/>
      <c r="H28" s="11"/>
    </row>
    <row r="29" spans="1:256" s="10" customFormat="1" ht="48">
      <c r="B29" s="38" t="s">
        <v>130</v>
      </c>
      <c r="C29" s="22">
        <v>70020.94</v>
      </c>
      <c r="D29" s="39"/>
      <c r="G29" s="11"/>
      <c r="H29" s="11"/>
    </row>
    <row r="30" spans="1:256" s="10" customFormat="1" ht="48">
      <c r="B30" s="38" t="s">
        <v>132</v>
      </c>
      <c r="C30" s="22">
        <v>221465575.74000001</v>
      </c>
      <c r="D30" s="39"/>
      <c r="G30" s="11"/>
      <c r="H30" s="11"/>
    </row>
    <row r="31" spans="1:256" s="10" customFormat="1" ht="48">
      <c r="B31" s="38" t="s">
        <v>134</v>
      </c>
      <c r="C31" s="22">
        <v>235088.08</v>
      </c>
      <c r="D31" s="39"/>
      <c r="G31" s="11"/>
      <c r="H31" s="11"/>
    </row>
    <row r="32" spans="1:256" s="10" customFormat="1" ht="24">
      <c r="B32" s="38" t="s">
        <v>136</v>
      </c>
      <c r="C32" s="22">
        <v>231368798.12</v>
      </c>
      <c r="D32" s="39"/>
      <c r="G32" s="11"/>
      <c r="H32" s="11"/>
    </row>
    <row r="33" spans="2:8" s="10" customFormat="1" ht="26.25">
      <c r="B33" s="38" t="s">
        <v>1465</v>
      </c>
      <c r="C33" s="43">
        <v>14000</v>
      </c>
      <c r="D33" s="40">
        <f>SUM(C28:C33)</f>
        <v>453206442.88</v>
      </c>
      <c r="G33" s="11"/>
      <c r="H33" s="11"/>
    </row>
    <row r="34" spans="2:8" ht="26.25">
      <c r="B34" s="44"/>
      <c r="C34" s="45"/>
      <c r="D34" s="41">
        <f>D22+D26-D33</f>
        <v>449081666.75999999</v>
      </c>
    </row>
    <row r="35" spans="2:8" ht="24"/>
    <row r="36" spans="2:8" ht="24"/>
    <row r="39" spans="2:8" ht="24.95" customHeight="1">
      <c r="D39" s="9">
        <f>F17-D34</f>
        <v>0</v>
      </c>
    </row>
  </sheetData>
  <mergeCells count="6">
    <mergeCell ref="A20:E20"/>
    <mergeCell ref="A1:F1"/>
    <mergeCell ref="A2:F2"/>
    <mergeCell ref="E3:F3"/>
    <mergeCell ref="A4:B4"/>
    <mergeCell ref="A17:B17"/>
  </mergeCells>
  <pageMargins left="0.37" right="0.25" top="0.74803149606299213" bottom="0.74803149606299213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85"/>
  <sheetViews>
    <sheetView topLeftCell="B1" workbookViewId="0">
      <selection activeCell="B60" sqref="B60"/>
    </sheetView>
  </sheetViews>
  <sheetFormatPr defaultRowHeight="24"/>
  <cols>
    <col min="1" max="1" width="40.42578125" style="242" customWidth="1"/>
    <col min="2" max="2" width="70.7109375" style="242" customWidth="1"/>
    <col min="3" max="3" width="18.42578125" style="239" customWidth="1"/>
    <col min="4" max="4" width="17.85546875" style="239" customWidth="1"/>
    <col min="5" max="5" width="17.42578125" style="239" customWidth="1"/>
    <col min="6" max="6" width="17.28515625" style="239" customWidth="1"/>
    <col min="7" max="7" width="18.28515625" style="239" customWidth="1"/>
    <col min="8" max="8" width="11.28515625" style="239" customWidth="1"/>
    <col min="9" max="9" width="8.42578125" style="239" customWidth="1"/>
    <col min="10" max="10" width="13.7109375" style="239" customWidth="1"/>
    <col min="11" max="11" width="9.140625" style="239"/>
    <col min="12" max="12" width="9.140625" style="240"/>
    <col min="13" max="13" width="9.140625" style="239"/>
    <col min="14" max="17" width="9.140625" style="240"/>
    <col min="18" max="16384" width="9.140625" style="239"/>
  </cols>
  <sheetData>
    <row r="1" spans="1:17">
      <c r="A1" s="960" t="s">
        <v>350</v>
      </c>
      <c r="B1" s="960"/>
      <c r="C1" s="960"/>
      <c r="D1" s="960"/>
      <c r="E1" s="960"/>
      <c r="F1" s="960"/>
      <c r="G1" s="960"/>
      <c r="H1" s="960"/>
      <c r="I1" s="960"/>
      <c r="J1" s="960"/>
    </row>
    <row r="2" spans="1:17">
      <c r="A2" s="241"/>
      <c r="C2" s="243"/>
      <c r="D2" s="243"/>
      <c r="E2" s="243"/>
      <c r="F2" s="243"/>
    </row>
    <row r="3" spans="1:17">
      <c r="A3" s="244" t="s">
        <v>226</v>
      </c>
      <c r="B3" s="245" t="s">
        <v>227</v>
      </c>
      <c r="C3" s="246" t="s">
        <v>3</v>
      </c>
      <c r="D3" s="246" t="s">
        <v>2</v>
      </c>
      <c r="E3" s="246" t="s">
        <v>0</v>
      </c>
      <c r="F3" s="246" t="s">
        <v>303</v>
      </c>
      <c r="G3" s="246" t="s">
        <v>351</v>
      </c>
      <c r="H3" s="246" t="s">
        <v>228</v>
      </c>
      <c r="I3" s="246" t="s">
        <v>229</v>
      </c>
      <c r="J3" s="246" t="s">
        <v>352</v>
      </c>
      <c r="L3" s="247"/>
      <c r="M3" s="247"/>
      <c r="N3" s="961"/>
      <c r="O3" s="961"/>
      <c r="P3" s="961"/>
      <c r="Q3" s="961"/>
    </row>
    <row r="4" spans="1:17">
      <c r="A4" s="248"/>
      <c r="B4" s="249" t="s">
        <v>353</v>
      </c>
      <c r="C4" s="250"/>
      <c r="D4" s="250"/>
      <c r="E4" s="250"/>
      <c r="F4" s="250"/>
      <c r="G4" s="250"/>
      <c r="H4" s="251"/>
      <c r="I4" s="250"/>
      <c r="J4" s="250"/>
    </row>
    <row r="5" spans="1:17">
      <c r="A5" s="252" t="s">
        <v>312</v>
      </c>
      <c r="B5" s="252" t="s">
        <v>354</v>
      </c>
      <c r="C5" s="253">
        <f>'3.2'!C6</f>
        <v>1489738.6626300577</v>
      </c>
      <c r="D5" s="253">
        <f>'3.2'!D6</f>
        <v>1034347.6884104047</v>
      </c>
      <c r="E5" s="253">
        <f>'3.2'!E6</f>
        <v>33362.409277456645</v>
      </c>
      <c r="F5" s="253">
        <f>'3.2'!F6</f>
        <v>306.27127167630056</v>
      </c>
      <c r="G5" s="254">
        <f>SUM(C5:F5)</f>
        <v>2557755.0315895956</v>
      </c>
      <c r="H5" s="255">
        <f>'1.1'!C3</f>
        <v>2601</v>
      </c>
      <c r="I5" s="256" t="s">
        <v>232</v>
      </c>
      <c r="J5" s="257">
        <f>+G5/H5</f>
        <v>983.37371456731853</v>
      </c>
    </row>
    <row r="6" spans="1:17">
      <c r="A6" s="258" t="str">
        <f>+'[2]ตาราง3 '!A6</f>
        <v>2.กลุ่มงานศัลยศาสตร์</v>
      </c>
      <c r="B6" s="259" t="str">
        <f>+'[2]ตาราง3 '!B6</f>
        <v xml:space="preserve">2.1. การบริการผ่าตัดวินิจโรค  ค้นหาโรคมะเร็ง  </v>
      </c>
      <c r="C6" s="253">
        <f>'3.2'!C9</f>
        <v>2093604.9678901734</v>
      </c>
      <c r="D6" s="253">
        <f>'3.2'!D9</f>
        <v>3019430.3452312145</v>
      </c>
      <c r="E6" s="253">
        <f>'3.2'!E9</f>
        <v>100087.22783236993</v>
      </c>
      <c r="F6" s="253">
        <f>'3.2'!F9</f>
        <v>918.81381502890179</v>
      </c>
      <c r="G6" s="254">
        <f t="shared" ref="G6:G43" si="0">SUM(C6:F6)</f>
        <v>5214041.3547687866</v>
      </c>
      <c r="H6" s="255">
        <f>'1.1'!C4</f>
        <v>433</v>
      </c>
      <c r="I6" s="256" t="s">
        <v>232</v>
      </c>
      <c r="J6" s="257">
        <f t="shared" ref="J6:J43" si="1">+G6/H6</f>
        <v>12041.665946348237</v>
      </c>
    </row>
    <row r="7" spans="1:17">
      <c r="A7" s="258" t="str">
        <f>+'[2]ตาราง3 '!A7</f>
        <v>3.กลุ่มงานวิสัญญีวิทยา</v>
      </c>
      <c r="B7" s="259" t="str">
        <f>+'[2]ตาราง3 '!B7</f>
        <v>3.1. ให้บริการการพยาบาลผู้ป่วยที่ได้รับการระงับความรู้สึกทุกประเภท</v>
      </c>
      <c r="C7" s="253">
        <f>'3.2'!C12</f>
        <v>1542754.3426300576</v>
      </c>
      <c r="D7" s="253">
        <f>'3.2'!D12</f>
        <v>997990.2784104048</v>
      </c>
      <c r="E7" s="253">
        <f>'3.2'!E12</f>
        <v>33362.409277456645</v>
      </c>
      <c r="F7" s="253">
        <f>'3.2'!F12</f>
        <v>306.27127167630056</v>
      </c>
      <c r="G7" s="254">
        <f t="shared" si="0"/>
        <v>2574413.3015895956</v>
      </c>
      <c r="H7" s="255">
        <f>'1.1'!C5</f>
        <v>755</v>
      </c>
      <c r="I7" s="256" t="s">
        <v>232</v>
      </c>
      <c r="J7" s="257">
        <f t="shared" si="1"/>
        <v>3409.8189425027758</v>
      </c>
    </row>
    <row r="8" spans="1:17">
      <c r="A8" s="258" t="str">
        <f>+'[2]ตาราง3 '!A8</f>
        <v>4.กลุ่มงานอายุรศาสตร์</v>
      </c>
      <c r="B8" s="259" t="str">
        <f>+'[2]ตาราง3 '!B8</f>
        <v>4.1 ให้บริการรักษาผู้ป่วยนอก</v>
      </c>
      <c r="C8" s="253">
        <f>'3.2'!C14</f>
        <v>3836009.5967612718</v>
      </c>
      <c r="D8" s="253">
        <f>'3.2'!D14</f>
        <v>4869075.940728901</v>
      </c>
      <c r="E8" s="253">
        <f>'3.2'!E14</f>
        <v>156803.32360404622</v>
      </c>
      <c r="F8" s="253">
        <f>'3.2'!F14</f>
        <v>1439.474976878613</v>
      </c>
      <c r="G8" s="254">
        <f t="shared" si="0"/>
        <v>8863328.3360710964</v>
      </c>
      <c r="H8" s="255">
        <f>'1.1'!C6</f>
        <v>15285</v>
      </c>
      <c r="I8" s="256" t="s">
        <v>232</v>
      </c>
      <c r="J8" s="257">
        <f t="shared" si="1"/>
        <v>579.87100661243676</v>
      </c>
    </row>
    <row r="9" spans="1:17">
      <c r="A9" s="258"/>
      <c r="B9" s="259" t="str">
        <f>+'[2]ตาราง3 '!B9</f>
        <v>4.2 ให้บริการรักษาผู้ป่วยใน</v>
      </c>
      <c r="C9" s="253">
        <f>'3.2'!C15</f>
        <v>244851.67638901738</v>
      </c>
      <c r="D9" s="253">
        <f>'3.2'!D15</f>
        <v>310792.08132312133</v>
      </c>
      <c r="E9" s="253">
        <f>'3.2'!E15</f>
        <v>10008.722783236992</v>
      </c>
      <c r="F9" s="253">
        <f>'3.2'!F15</f>
        <v>91.881381502890179</v>
      </c>
      <c r="G9" s="254">
        <f t="shared" si="0"/>
        <v>565744.36187687854</v>
      </c>
      <c r="H9" s="255">
        <f>'1.1'!C7</f>
        <v>2603</v>
      </c>
      <c r="I9" s="256" t="s">
        <v>232</v>
      </c>
      <c r="J9" s="257">
        <f t="shared" si="1"/>
        <v>217.34320471643431</v>
      </c>
    </row>
    <row r="10" spans="1:17">
      <c r="A10" s="258" t="s">
        <v>355</v>
      </c>
      <c r="B10" s="259" t="str">
        <f>+'[2]ตาราง3 '!B10</f>
        <v>5.1 ให้บริการรักษาผู้ป่วยโรคมะเร็งด้วยยาเคมีบำบัด ผู้ป่วยนอก</v>
      </c>
      <c r="C10" s="253">
        <f>'3.2'!C18</f>
        <v>1145326.0955037572</v>
      </c>
      <c r="D10" s="253">
        <f>'3.2'!D18</f>
        <v>1057748.0546263007</v>
      </c>
      <c r="E10" s="253">
        <f>'3.2'!E18</f>
        <v>33028.785184682085</v>
      </c>
      <c r="F10" s="253">
        <f>'3.2'!F18</f>
        <v>303.20855895953758</v>
      </c>
      <c r="G10" s="254">
        <f t="shared" si="0"/>
        <v>2236406.143873699</v>
      </c>
      <c r="H10" s="255">
        <f>'1.1'!C8</f>
        <v>2082</v>
      </c>
      <c r="I10" s="256" t="s">
        <v>232</v>
      </c>
      <c r="J10" s="257">
        <f t="shared" si="1"/>
        <v>1074.1624130036978</v>
      </c>
    </row>
    <row r="11" spans="1:17">
      <c r="A11" s="258"/>
      <c r="B11" s="259" t="str">
        <f>+'[2]ตาราง3 '!B11</f>
        <v>5.2 .ให้บริการรักษาผู้ป่วยโรคมะเร็งด้วยยาเคมีบำบัด ผู้ป่วยใน</v>
      </c>
      <c r="C11" s="253">
        <f>'3.2'!C19</f>
        <v>2325359.0423864159</v>
      </c>
      <c r="D11" s="253">
        <f>'3.2'!D19</f>
        <v>2147549.0806049136</v>
      </c>
      <c r="E11" s="253">
        <f>'3.2'!E19</f>
        <v>67058.442647687858</v>
      </c>
      <c r="F11" s="253">
        <f>'3.2'!F19</f>
        <v>615.60525606936415</v>
      </c>
      <c r="G11" s="254">
        <f t="shared" si="0"/>
        <v>4540582.1708950866</v>
      </c>
      <c r="H11" s="255">
        <f>'1.1'!C9</f>
        <v>2481</v>
      </c>
      <c r="I11" s="256" t="s">
        <v>232</v>
      </c>
      <c r="J11" s="257">
        <f t="shared" si="1"/>
        <v>1830.1419471564234</v>
      </c>
    </row>
    <row r="12" spans="1:17">
      <c r="A12" s="258" t="s">
        <v>356</v>
      </c>
      <c r="B12" s="259" t="str">
        <f>+'[2]ตาราง3 '!B12</f>
        <v>6.1. ให้บริการผู้ป่วยมะเร็งโสต ศอ นาสิก ด้วยรังสีรักษา</v>
      </c>
      <c r="C12" s="253">
        <f>'3.2'!C23</f>
        <v>0</v>
      </c>
      <c r="D12" s="253">
        <f>'3.2'!D23</f>
        <v>0</v>
      </c>
      <c r="E12" s="253">
        <f>'3.2'!E23</f>
        <v>0</v>
      </c>
      <c r="F12" s="253">
        <f>'3.2'!F23</f>
        <v>0</v>
      </c>
      <c r="G12" s="254">
        <f t="shared" si="0"/>
        <v>0</v>
      </c>
      <c r="H12" s="255">
        <v>0</v>
      </c>
      <c r="I12" s="256"/>
      <c r="J12" s="257">
        <v>0</v>
      </c>
    </row>
    <row r="13" spans="1:17">
      <c r="A13" s="258" t="str">
        <f>+'[2]ตาราง3 '!A13</f>
        <v>7.กลุ่มงานรังสีรักษา</v>
      </c>
      <c r="B13" s="259" t="str">
        <f>+'[2]ตาราง3 '!B13</f>
        <v>7.1 ให้บริการรักษาด้านรังสีรักษาผู้ป่วยนอก</v>
      </c>
      <c r="C13" s="253">
        <f>'3.2'!C26</f>
        <v>12245372.165751446</v>
      </c>
      <c r="D13" s="253">
        <f>'3.2'!D26</f>
        <v>22788138.440260116</v>
      </c>
      <c r="E13" s="253">
        <f>'3.2'!E26</f>
        <v>834060.23193641612</v>
      </c>
      <c r="F13" s="253">
        <f>'3.2'!F26</f>
        <v>7656.7817919075142</v>
      </c>
      <c r="G13" s="254">
        <f t="shared" si="0"/>
        <v>35875227.61973989</v>
      </c>
      <c r="H13" s="255">
        <f>'1.1'!C11</f>
        <v>1364</v>
      </c>
      <c r="I13" s="256" t="s">
        <v>232</v>
      </c>
      <c r="J13" s="257">
        <f t="shared" si="1"/>
        <v>26301.486524735988</v>
      </c>
    </row>
    <row r="14" spans="1:17">
      <c r="A14" s="258" t="s">
        <v>357</v>
      </c>
      <c r="B14" s="259" t="s">
        <v>358</v>
      </c>
      <c r="C14" s="253">
        <f>'3.2'!C33</f>
        <v>4887510.2964106938</v>
      </c>
      <c r="D14" s="253">
        <f>'3.2'!D33</f>
        <v>9715960.8966748565</v>
      </c>
      <c r="E14" s="253">
        <f>'3.2'!E33</f>
        <v>342631.94327947975</v>
      </c>
      <c r="F14" s="253">
        <f>'3.2'!F33</f>
        <v>3145.4059601156068</v>
      </c>
      <c r="G14" s="254">
        <f t="shared" si="0"/>
        <v>14949248.542325148</v>
      </c>
      <c r="H14" s="255">
        <f>'1.1'!C12</f>
        <v>8489</v>
      </c>
      <c r="I14" s="256" t="s">
        <v>232</v>
      </c>
      <c r="J14" s="257">
        <f t="shared" si="1"/>
        <v>1761.0140820267579</v>
      </c>
    </row>
    <row r="15" spans="1:17">
      <c r="A15" s="258"/>
      <c r="B15" s="259" t="str">
        <f>+'[2]ตาราง3 '!B16</f>
        <v>8.2 ให้บริการตรวจค้นหา ศึกษา วิเคราะห์มะเร็งของงานเอกซเรย์พิเศษ</v>
      </c>
      <c r="C15" s="253">
        <f>'3.2'!C34</f>
        <v>61867.218941907522</v>
      </c>
      <c r="D15" s="253">
        <f>'3.2'!D34</f>
        <v>122986.84679335261</v>
      </c>
      <c r="E15" s="253">
        <f>'3.2'!E34</f>
        <v>4337.1132060693644</v>
      </c>
      <c r="F15" s="253">
        <f>'3.2'!F34</f>
        <v>39.815265317919078</v>
      </c>
      <c r="G15" s="254">
        <f t="shared" si="0"/>
        <v>189230.99420664742</v>
      </c>
      <c r="H15" s="255">
        <f>'1.1'!C13</f>
        <v>3</v>
      </c>
      <c r="I15" s="256" t="s">
        <v>232</v>
      </c>
      <c r="J15" s="257">
        <f t="shared" si="1"/>
        <v>63076.998068882473</v>
      </c>
    </row>
    <row r="16" spans="1:17">
      <c r="A16" s="258"/>
      <c r="B16" s="259" t="str">
        <f>+'[2]ตาราง3 '!B17</f>
        <v>8.3. ให้บริการตรวจด้วยคลื่นเสียงความถี่สูง</v>
      </c>
      <c r="C16" s="253">
        <f>'3.2'!C35</f>
        <v>866141.06518670532</v>
      </c>
      <c r="D16" s="253">
        <f>'3.2'!D35</f>
        <v>1721815.8551069363</v>
      </c>
      <c r="E16" s="253">
        <f>'3.2'!E35</f>
        <v>60719.584884971104</v>
      </c>
      <c r="F16" s="253">
        <f>'3.2'!F35</f>
        <v>557.41371445086702</v>
      </c>
      <c r="G16" s="254">
        <f t="shared" si="0"/>
        <v>2649233.9188930634</v>
      </c>
      <c r="H16" s="255">
        <f>'1.1'!C14</f>
        <v>3872</v>
      </c>
      <c r="I16" s="256" t="s">
        <v>232</v>
      </c>
      <c r="J16" s="257">
        <f t="shared" si="1"/>
        <v>684.20297492072916</v>
      </c>
    </row>
    <row r="17" spans="1:10">
      <c r="A17" s="258"/>
      <c r="B17" s="259" t="str">
        <f>+'[2]ตาราง3 '!B18</f>
        <v>8.4 .ให้บริการตรวจเพื่อค้นหา รวมทั้งศึกษา วิเคราะห์โรคมะเร็งเต้านมและความผิดปกติของ</v>
      </c>
      <c r="C17" s="253">
        <f>'3.2'!C36</f>
        <v>371203.31365144515</v>
      </c>
      <c r="D17" s="253">
        <f>'3.2'!D36</f>
        <v>737921.08076011564</v>
      </c>
      <c r="E17" s="253">
        <f>'3.2'!E36</f>
        <v>26022.679236416185</v>
      </c>
      <c r="F17" s="253">
        <f>'3.2'!F36</f>
        <v>238.89159190751445</v>
      </c>
      <c r="G17" s="254">
        <f t="shared" si="0"/>
        <v>1135385.9652398846</v>
      </c>
      <c r="H17" s="255">
        <f>'1.1'!C15</f>
        <v>1758</v>
      </c>
      <c r="I17" s="256" t="s">
        <v>232</v>
      </c>
      <c r="J17" s="257">
        <f t="shared" si="1"/>
        <v>645.83957067115159</v>
      </c>
    </row>
    <row r="18" spans="1:10">
      <c r="A18" s="258"/>
      <c r="B18" s="259" t="str">
        <f>+'[2]ตาราง3 '!B19</f>
        <v>เต้านมจากการถ่ายเอกซเรย์เต้านม</v>
      </c>
      <c r="C18" s="253"/>
      <c r="D18" s="253"/>
      <c r="E18" s="253"/>
      <c r="F18" s="253"/>
      <c r="G18" s="254"/>
      <c r="H18" s="255"/>
      <c r="I18" s="256"/>
      <c r="J18" s="257"/>
    </row>
    <row r="19" spans="1:10">
      <c r="A19" s="258" t="s">
        <v>320</v>
      </c>
      <c r="B19" s="259" t="str">
        <f>+'[2]ตาราง3 '!B20</f>
        <v>9.1. ให้บริการตรวจวินิจฉัยและรักษาผู้ป่วยด้านเวชศาสตร์นิวเคลียร์</v>
      </c>
      <c r="C19" s="253">
        <f>'3.2'!C41</f>
        <v>6434649.6436705207</v>
      </c>
      <c r="D19" s="253">
        <f>'3.2'!D41</f>
        <v>8321652.695693641</v>
      </c>
      <c r="E19" s="253">
        <f>'3.2'!E41</f>
        <v>300261.6834971098</v>
      </c>
      <c r="F19" s="253">
        <f>'3.2'!F41</f>
        <v>2756.4414450867057</v>
      </c>
      <c r="G19" s="254">
        <f t="shared" si="0"/>
        <v>15059320.464306358</v>
      </c>
      <c r="H19" s="255">
        <f>'1.1'!C17</f>
        <v>4129</v>
      </c>
      <c r="I19" s="256" t="s">
        <v>232</v>
      </c>
      <c r="J19" s="257">
        <f t="shared" si="1"/>
        <v>3647.2076687591084</v>
      </c>
    </row>
    <row r="20" spans="1:10">
      <c r="A20" s="258" t="s">
        <v>246</v>
      </c>
      <c r="B20" s="259" t="s">
        <v>247</v>
      </c>
      <c r="C20" s="253">
        <f>'3.2'!C44</f>
        <v>1530574.4257803471</v>
      </c>
      <c r="D20" s="253">
        <f>'3.2'!D44</f>
        <v>4819126.3804624286</v>
      </c>
      <c r="E20" s="253">
        <f>'3.2'!E44</f>
        <v>200174.45566473986</v>
      </c>
      <c r="F20" s="253">
        <f>'3.2'!F44</f>
        <v>1837.6276300578036</v>
      </c>
      <c r="G20" s="254">
        <f t="shared" si="0"/>
        <v>6551712.8895375729</v>
      </c>
      <c r="H20" s="255">
        <f>'1.1'!C18</f>
        <v>4486</v>
      </c>
      <c r="I20" s="256" t="s">
        <v>232</v>
      </c>
      <c r="J20" s="257">
        <f t="shared" si="1"/>
        <v>1460.47991295978</v>
      </c>
    </row>
    <row r="21" spans="1:10">
      <c r="A21" s="258" t="s">
        <v>248</v>
      </c>
      <c r="B21" s="259" t="s">
        <v>1487</v>
      </c>
      <c r="C21" s="253">
        <f>'3.2'!C46</f>
        <v>951138.12052023131</v>
      </c>
      <c r="D21" s="253">
        <f>'3.2'!D46</f>
        <v>3655410.5636416189</v>
      </c>
      <c r="E21" s="253">
        <f>'3.2'!E46</f>
        <v>133449.63710982658</v>
      </c>
      <c r="F21" s="253">
        <f>'3.2'!F46</f>
        <v>1225.0850867052022</v>
      </c>
      <c r="G21" s="253">
        <f>SUM(C21:F21)</f>
        <v>4741223.4063583817</v>
      </c>
      <c r="H21" s="255">
        <f>'1.1'!C19</f>
        <v>1833</v>
      </c>
      <c r="I21" s="256" t="s">
        <v>232</v>
      </c>
      <c r="J21" s="257">
        <f t="shared" si="1"/>
        <v>2586.5921474950255</v>
      </c>
    </row>
    <row r="22" spans="1:10">
      <c r="A22" s="258" t="s">
        <v>250</v>
      </c>
      <c r="B22" s="259" t="s">
        <v>251</v>
      </c>
      <c r="C22" s="253">
        <f>'3.2'!C49</f>
        <v>1564764.5267942196</v>
      </c>
      <c r="D22" s="253">
        <f>'3.2'!D49</f>
        <v>2876045.2319595371</v>
      </c>
      <c r="E22" s="253">
        <f>'3.2'!E49</f>
        <v>126777.15525433526</v>
      </c>
      <c r="F22" s="253">
        <f>'3.2'!F49</f>
        <v>1163.8308323699423</v>
      </c>
      <c r="G22" s="254">
        <f t="shared" si="0"/>
        <v>4568750.7448404618</v>
      </c>
      <c r="H22" s="255">
        <f>'1.1'!C20</f>
        <v>2068</v>
      </c>
      <c r="I22" s="256" t="s">
        <v>232</v>
      </c>
      <c r="J22" s="257">
        <f t="shared" si="1"/>
        <v>2209.2605149131828</v>
      </c>
    </row>
    <row r="23" spans="1:10">
      <c r="A23" s="258"/>
      <c r="B23" s="259" t="s">
        <v>252</v>
      </c>
      <c r="C23" s="253">
        <f>'3.2'!C50</f>
        <v>494136.16635606927</v>
      </c>
      <c r="D23" s="253">
        <f>'3.2'!D50</f>
        <v>908224.81009248551</v>
      </c>
      <c r="E23" s="253">
        <f>'3.2'!E50</f>
        <v>40034.891132947967</v>
      </c>
      <c r="F23" s="253">
        <f>'3.2'!F50</f>
        <v>367.52552601156071</v>
      </c>
      <c r="G23" s="254">
        <f t="shared" si="0"/>
        <v>1442763.3931075144</v>
      </c>
      <c r="H23" s="255">
        <f>'1.1'!C21</f>
        <v>115</v>
      </c>
      <c r="I23" s="256" t="s">
        <v>232</v>
      </c>
      <c r="J23" s="257">
        <f t="shared" si="1"/>
        <v>12545.768635717517</v>
      </c>
    </row>
    <row r="24" spans="1:10">
      <c r="A24" s="258" t="s">
        <v>253</v>
      </c>
      <c r="B24" s="259" t="s">
        <v>254</v>
      </c>
      <c r="C24" s="253">
        <f>'3.2'!C53</f>
        <v>5311910.2946809242</v>
      </c>
      <c r="D24" s="253">
        <f>'3.2'!D53</f>
        <v>10984842.737266472</v>
      </c>
      <c r="E24" s="253">
        <f>'3.2'!E53</f>
        <v>418364.61233930633</v>
      </c>
      <c r="F24" s="253">
        <f>'3.2'!F53</f>
        <v>3840.6417468208092</v>
      </c>
      <c r="G24" s="254">
        <f t="shared" si="0"/>
        <v>16718958.286033524</v>
      </c>
      <c r="H24" s="255">
        <f>'1.1'!C22</f>
        <v>7109</v>
      </c>
      <c r="I24" s="256" t="s">
        <v>232</v>
      </c>
      <c r="J24" s="257">
        <f t="shared" si="1"/>
        <v>2351.8017001031826</v>
      </c>
    </row>
    <row r="25" spans="1:10">
      <c r="A25" s="258"/>
      <c r="B25" s="259" t="s">
        <v>255</v>
      </c>
      <c r="C25" s="253">
        <f>'3.2'!C54</f>
        <v>4007230.5731803463</v>
      </c>
      <c r="D25" s="253">
        <f>'3.2'!D54</f>
        <v>8286811.1877624262</v>
      </c>
      <c r="E25" s="253">
        <f>'3.2'!E54</f>
        <v>315608.39176473982</v>
      </c>
      <c r="F25" s="253">
        <f>'3.2'!F54</f>
        <v>2897.3262300578035</v>
      </c>
      <c r="G25" s="254">
        <f t="shared" si="0"/>
        <v>12612547.47893757</v>
      </c>
      <c r="H25" s="255">
        <f>'1.1'!C23</f>
        <v>20662</v>
      </c>
      <c r="I25" s="256" t="s">
        <v>232</v>
      </c>
      <c r="J25" s="257">
        <f t="shared" si="1"/>
        <v>610.4223927469543</v>
      </c>
    </row>
    <row r="26" spans="1:10">
      <c r="A26" s="258" t="s">
        <v>256</v>
      </c>
      <c r="B26" s="259" t="s">
        <v>1462</v>
      </c>
      <c r="C26" s="253">
        <f>'3.2'!C57</f>
        <v>624332.74698728335</v>
      </c>
      <c r="D26" s="253">
        <f>'3.2'!D57</f>
        <v>1532487.3601109826</v>
      </c>
      <c r="E26" s="253">
        <f>'3.2'!E57</f>
        <v>48041.869359537566</v>
      </c>
      <c r="F26" s="253">
        <f>'3.2'!F57</f>
        <v>441.03063121387282</v>
      </c>
      <c r="G26" s="254">
        <f t="shared" si="0"/>
        <v>2205303.0070890174</v>
      </c>
      <c r="H26" s="260">
        <f>'1.1'!C24</f>
        <v>1771</v>
      </c>
      <c r="I26" s="256" t="s">
        <v>232</v>
      </c>
      <c r="J26" s="257">
        <f>+G26/100</f>
        <v>22053.030070890174</v>
      </c>
    </row>
    <row r="27" spans="1:10">
      <c r="A27" s="258"/>
      <c r="B27" s="259" t="s">
        <v>1463</v>
      </c>
      <c r="C27" s="253">
        <f>'3.2'!C58</f>
        <v>242796.06827283237</v>
      </c>
      <c r="D27" s="253">
        <f>'3.2'!D58</f>
        <v>595967.30670982657</v>
      </c>
      <c r="E27" s="253">
        <f>'3.2'!E58</f>
        <v>18682.949195375721</v>
      </c>
      <c r="F27" s="253">
        <f>'3.2'!F58</f>
        <v>171.51191213872829</v>
      </c>
      <c r="G27" s="254">
        <f t="shared" si="0"/>
        <v>857617.83609017346</v>
      </c>
      <c r="H27" s="255">
        <f>'1.1'!C25</f>
        <v>482</v>
      </c>
      <c r="I27" s="256" t="s">
        <v>232</v>
      </c>
      <c r="J27" s="257">
        <f t="shared" si="1"/>
        <v>1779.2901163696545</v>
      </c>
    </row>
    <row r="28" spans="1:10">
      <c r="A28" s="258" t="s">
        <v>259</v>
      </c>
      <c r="B28" s="259" t="s">
        <v>260</v>
      </c>
      <c r="C28" s="253">
        <f>'3.2'!C62</f>
        <v>636880.87231213867</v>
      </c>
      <c r="D28" s="253">
        <f>'3.2'!D62</f>
        <v>2353645.7121849712</v>
      </c>
      <c r="E28" s="253">
        <f>'3.2'!E62</f>
        <v>80069.782265895949</v>
      </c>
      <c r="F28" s="253">
        <f>'3.2'!F62</f>
        <v>735.05105202312131</v>
      </c>
      <c r="G28" s="254">
        <f t="shared" si="0"/>
        <v>3071331.4178150292</v>
      </c>
      <c r="H28" s="255">
        <f>'1.1'!C26</f>
        <v>658</v>
      </c>
      <c r="I28" s="256" t="s">
        <v>232</v>
      </c>
      <c r="J28" s="257">
        <f t="shared" si="1"/>
        <v>4667.6769267705613</v>
      </c>
    </row>
    <row r="29" spans="1:10">
      <c r="A29" s="258"/>
      <c r="B29" s="259" t="s">
        <v>359</v>
      </c>
      <c r="C29" s="253">
        <f>'3.2'!C63</f>
        <v>424587.24820809247</v>
      </c>
      <c r="D29" s="253">
        <f>'3.2'!D63</f>
        <v>1569097.1414566475</v>
      </c>
      <c r="E29" s="253">
        <f>'3.2'!E63</f>
        <v>53379.854843930632</v>
      </c>
      <c r="F29" s="253">
        <f>'3.2'!F63</f>
        <v>490.03403468208091</v>
      </c>
      <c r="G29" s="254">
        <f t="shared" si="0"/>
        <v>2047554.2785433526</v>
      </c>
      <c r="H29" s="255">
        <f>'1.1'!C27</f>
        <v>2716</v>
      </c>
      <c r="I29" s="256" t="s">
        <v>232</v>
      </c>
      <c r="J29" s="257">
        <f t="shared" si="1"/>
        <v>753.88596411758192</v>
      </c>
    </row>
    <row r="30" spans="1:10">
      <c r="A30" s="258" t="s">
        <v>262</v>
      </c>
      <c r="B30" s="259" t="s">
        <v>263</v>
      </c>
      <c r="C30" s="253">
        <f>'3.2'!C67</f>
        <v>4706486.3189306362</v>
      </c>
      <c r="D30" s="253">
        <f>'3.2'!D67</f>
        <v>9106784.5225144513</v>
      </c>
      <c r="E30" s="253">
        <f>'3.2'!E67</f>
        <v>366986.50205202313</v>
      </c>
      <c r="F30" s="253">
        <f>'3.2'!F67</f>
        <v>3368.9839884393064</v>
      </c>
      <c r="G30" s="254">
        <f t="shared" si="0"/>
        <v>14183626.327485552</v>
      </c>
      <c r="H30" s="255">
        <f>'1.1'!C28</f>
        <v>246200</v>
      </c>
      <c r="I30" s="256" t="s">
        <v>232</v>
      </c>
      <c r="J30" s="257">
        <f t="shared" si="1"/>
        <v>57.610180046651308</v>
      </c>
    </row>
    <row r="31" spans="1:10">
      <c r="A31" s="258" t="s">
        <v>264</v>
      </c>
      <c r="B31" s="259" t="s">
        <v>265</v>
      </c>
      <c r="C31" s="253">
        <f>'3.2'!C70</f>
        <v>11713440.071531795</v>
      </c>
      <c r="D31" s="253">
        <f>'3.2'!D70</f>
        <v>23886824.410722539</v>
      </c>
      <c r="E31" s="253">
        <f>'3.2'!E70</f>
        <v>1034234.687601156</v>
      </c>
      <c r="F31" s="253">
        <f>'3.2'!F70</f>
        <v>9494.409421965318</v>
      </c>
      <c r="G31" s="254">
        <f t="shared" si="0"/>
        <v>36643993.579277456</v>
      </c>
      <c r="H31" s="255">
        <f>'1.1'!C29</f>
        <v>67049</v>
      </c>
      <c r="I31" s="256" t="s">
        <v>232</v>
      </c>
      <c r="J31" s="257">
        <f t="shared" si="1"/>
        <v>546.52557949078221</v>
      </c>
    </row>
    <row r="32" spans="1:10">
      <c r="A32" s="258" t="s">
        <v>266</v>
      </c>
      <c r="B32" s="259" t="s">
        <v>267</v>
      </c>
      <c r="C32" s="253">
        <f>'3.2'!C73</f>
        <v>16820492.333092488</v>
      </c>
      <c r="D32" s="253">
        <f>'3.2'!D73</f>
        <v>34936937.851647399</v>
      </c>
      <c r="E32" s="253">
        <f>'3.2'!E73</f>
        <v>1434583.5989306357</v>
      </c>
      <c r="F32" s="253">
        <f>'3.2'!F73</f>
        <v>13169.664682080926</v>
      </c>
      <c r="G32" s="254">
        <f t="shared" si="0"/>
        <v>53205183.448352605</v>
      </c>
      <c r="H32" s="255">
        <f>'1.1'!C30</f>
        <v>2565</v>
      </c>
      <c r="I32" s="256" t="s">
        <v>232</v>
      </c>
      <c r="J32" s="257">
        <f t="shared" si="1"/>
        <v>20742.761578305108</v>
      </c>
    </row>
    <row r="33" spans="1:17">
      <c r="A33" s="258" t="s">
        <v>268</v>
      </c>
      <c r="B33" s="259" t="s">
        <v>269</v>
      </c>
      <c r="C33" s="253">
        <f>'3.2'!C76</f>
        <v>5545993.7831502883</v>
      </c>
      <c r="D33" s="253">
        <f>'3.2'!D76</f>
        <v>5773666.5720520224</v>
      </c>
      <c r="E33" s="253">
        <f>'3.2'!E76</f>
        <v>166812.04638728322</v>
      </c>
      <c r="F33" s="253">
        <f>'3.2'!F76</f>
        <v>1531.356358381503</v>
      </c>
      <c r="G33" s="254">
        <f t="shared" si="0"/>
        <v>11488003.757947974</v>
      </c>
      <c r="H33" s="255">
        <f>'1.1'!C31</f>
        <v>43</v>
      </c>
      <c r="I33" s="256" t="s">
        <v>241</v>
      </c>
      <c r="J33" s="257">
        <f t="shared" si="1"/>
        <v>267162.87809181336</v>
      </c>
    </row>
    <row r="34" spans="1:17" ht="24.75" customHeight="1">
      <c r="A34" s="258" t="s">
        <v>1531</v>
      </c>
      <c r="B34" s="259" t="s">
        <v>1484</v>
      </c>
      <c r="C34" s="253">
        <f>'3.2'!C79</f>
        <v>161278.66263005781</v>
      </c>
      <c r="D34" s="253">
        <f>'3.2'!D79</f>
        <v>913864.69841040473</v>
      </c>
      <c r="E34" s="253">
        <f>'3.2'!E79</f>
        <v>33362.409277456645</v>
      </c>
      <c r="F34" s="253">
        <f>'3.2'!F79</f>
        <v>306.27127167630056</v>
      </c>
      <c r="G34" s="254">
        <f t="shared" si="0"/>
        <v>1108812.0415895954</v>
      </c>
      <c r="H34" s="255">
        <f>'1.1'!C32</f>
        <v>385</v>
      </c>
      <c r="I34" s="256" t="s">
        <v>232</v>
      </c>
      <c r="J34" s="257">
        <f t="shared" si="1"/>
        <v>2880.0312768560921</v>
      </c>
    </row>
    <row r="35" spans="1:17" ht="24.75" customHeight="1">
      <c r="A35" s="258" t="s">
        <v>1532</v>
      </c>
      <c r="B35" s="259" t="s">
        <v>273</v>
      </c>
      <c r="C35" s="253">
        <f>'3.2'!C82</f>
        <v>6373096.3963005785</v>
      </c>
      <c r="D35" s="253">
        <f>'3.2'!D82</f>
        <v>8203531.1641040472</v>
      </c>
      <c r="E35" s="253">
        <f>'3.2'!E82</f>
        <v>333624.09277456644</v>
      </c>
      <c r="F35" s="253">
        <f>'3.2'!F82</f>
        <v>3062.712716763006</v>
      </c>
      <c r="G35" s="254">
        <f t="shared" si="0"/>
        <v>14913314.365895955</v>
      </c>
      <c r="H35" s="255">
        <f>'1.1'!C33</f>
        <v>38</v>
      </c>
      <c r="I35" s="256" t="s">
        <v>232</v>
      </c>
      <c r="J35" s="257">
        <f t="shared" si="1"/>
        <v>392455.64120778831</v>
      </c>
    </row>
    <row r="36" spans="1:17">
      <c r="A36" s="258" t="s">
        <v>274</v>
      </c>
      <c r="B36" s="259" t="s">
        <v>275</v>
      </c>
      <c r="C36" s="253">
        <f>'3.2'!C85</f>
        <v>7569296.4220809229</v>
      </c>
      <c r="D36" s="253">
        <f>'3.2'!D85</f>
        <v>12502822.874566473</v>
      </c>
      <c r="E36" s="253">
        <f>'3.2'!E85</f>
        <v>533798.54843930632</v>
      </c>
      <c r="F36" s="253">
        <f>'3.2'!F85</f>
        <v>4900.3403468208089</v>
      </c>
      <c r="G36" s="254">
        <f t="shared" si="0"/>
        <v>20610818.185433522</v>
      </c>
      <c r="H36" s="255">
        <f>'1.1'!C34</f>
        <v>1364</v>
      </c>
      <c r="I36" s="256" t="s">
        <v>232</v>
      </c>
      <c r="J36" s="257">
        <f t="shared" si="1"/>
        <v>15110.570517180002</v>
      </c>
    </row>
    <row r="37" spans="1:17">
      <c r="A37" s="258" t="s">
        <v>276</v>
      </c>
      <c r="B37" s="259" t="s">
        <v>277</v>
      </c>
      <c r="C37" s="253">
        <f>'3.2'!C88</f>
        <v>3509040.4257803471</v>
      </c>
      <c r="D37" s="253">
        <f>'3.2'!D88</f>
        <v>4404196.2904624287</v>
      </c>
      <c r="E37" s="253">
        <f>'3.2'!E88</f>
        <v>200174.45566473986</v>
      </c>
      <c r="F37" s="253">
        <f>'3.2'!F88</f>
        <v>1837.6276300578036</v>
      </c>
      <c r="G37" s="254">
        <f t="shared" si="0"/>
        <v>8115248.799537573</v>
      </c>
      <c r="H37" s="255">
        <f>'1.1'!C35</f>
        <v>755</v>
      </c>
      <c r="I37" s="256" t="s">
        <v>232</v>
      </c>
      <c r="J37" s="257">
        <f t="shared" si="1"/>
        <v>10748.673906672282</v>
      </c>
    </row>
    <row r="38" spans="1:17">
      <c r="A38" s="258" t="s">
        <v>278</v>
      </c>
      <c r="B38" s="259" t="s">
        <v>279</v>
      </c>
      <c r="C38" s="253">
        <f>'3.2'!C92</f>
        <v>4246943.7584104044</v>
      </c>
      <c r="D38" s="253">
        <f>'3.2'!D92</f>
        <v>5366761.8388728313</v>
      </c>
      <c r="E38" s="253">
        <f>'3.2'!E92</f>
        <v>233536.86494219652</v>
      </c>
      <c r="F38" s="253">
        <f>'3.2'!F92</f>
        <v>2143.8989017341041</v>
      </c>
      <c r="G38" s="254">
        <f t="shared" si="0"/>
        <v>9849386.3611271679</v>
      </c>
      <c r="H38" s="255">
        <f>'1.1'!C36</f>
        <v>934</v>
      </c>
      <c r="I38" s="256" t="s">
        <v>241</v>
      </c>
      <c r="J38" s="257">
        <f t="shared" si="1"/>
        <v>10545.381542962707</v>
      </c>
    </row>
    <row r="39" spans="1:17">
      <c r="A39" s="258" t="s">
        <v>280</v>
      </c>
      <c r="B39" s="259" t="s">
        <v>281</v>
      </c>
      <c r="C39" s="253">
        <f>'3.2'!C95</f>
        <v>4816140.7910404634</v>
      </c>
      <c r="D39" s="253">
        <f>'3.2'!D95</f>
        <v>6327920.7272832384</v>
      </c>
      <c r="E39" s="253">
        <f>'3.2'!E95</f>
        <v>266899.27421965316</v>
      </c>
      <c r="F39" s="253">
        <f>'3.2'!F95</f>
        <v>2450.1701734104045</v>
      </c>
      <c r="G39" s="254">
        <f t="shared" si="0"/>
        <v>11413410.962716764</v>
      </c>
      <c r="H39" s="255">
        <f>'1.1'!C37</f>
        <v>433</v>
      </c>
      <c r="I39" s="256" t="s">
        <v>232</v>
      </c>
      <c r="J39" s="257">
        <f t="shared" si="1"/>
        <v>26358.916773017929</v>
      </c>
    </row>
    <row r="40" spans="1:17">
      <c r="A40" s="261" t="s">
        <v>282</v>
      </c>
      <c r="B40" s="262" t="s">
        <v>283</v>
      </c>
      <c r="C40" s="253">
        <f>'3.2'!C97</f>
        <v>207325.08915606936</v>
      </c>
      <c r="D40" s="253">
        <f>'3.2'!D97</f>
        <v>1746869.0500924855</v>
      </c>
      <c r="E40" s="253">
        <f>'3.2'!E97</f>
        <v>40034.891132947974</v>
      </c>
      <c r="F40" s="253">
        <f>'3.2'!F97</f>
        <v>367.52552601156066</v>
      </c>
      <c r="G40" s="254">
        <f t="shared" si="0"/>
        <v>1994596.5559075144</v>
      </c>
      <c r="H40" s="255">
        <f>'1.1'!C38</f>
        <v>539</v>
      </c>
      <c r="I40" s="256" t="s">
        <v>241</v>
      </c>
      <c r="J40" s="257">
        <f t="shared" si="1"/>
        <v>3700.5501964888949</v>
      </c>
    </row>
    <row r="41" spans="1:17">
      <c r="A41" s="261"/>
      <c r="B41" s="262" t="s">
        <v>284</v>
      </c>
      <c r="C41" s="253">
        <f>'3.2'!C98</f>
        <v>138216.72610404625</v>
      </c>
      <c r="D41" s="253">
        <f>'3.2'!D98</f>
        <v>1164579.3667283237</v>
      </c>
      <c r="E41" s="253">
        <f>'3.2'!E98</f>
        <v>26689.927421965316</v>
      </c>
      <c r="F41" s="253">
        <f>'3.2'!F98</f>
        <v>245.01701734104046</v>
      </c>
      <c r="G41" s="254">
        <f t="shared" si="0"/>
        <v>1329731.0372716764</v>
      </c>
      <c r="H41" s="255">
        <f>'1.1'!C39</f>
        <v>39170</v>
      </c>
      <c r="I41" s="256" t="s">
        <v>241</v>
      </c>
      <c r="J41" s="257">
        <f t="shared" si="1"/>
        <v>33.947690509871748</v>
      </c>
    </row>
    <row r="42" spans="1:17">
      <c r="A42" s="258" t="s">
        <v>285</v>
      </c>
      <c r="B42" s="259" t="s">
        <v>286</v>
      </c>
      <c r="C42" s="253">
        <f>'3.2'!C102</f>
        <v>5605127.2163005779</v>
      </c>
      <c r="D42" s="253">
        <f>'3.2'!D102</f>
        <v>7445862.1641040472</v>
      </c>
      <c r="E42" s="253">
        <f>'3.2'!E102</f>
        <v>333624.09277456644</v>
      </c>
      <c r="F42" s="253">
        <f>'3.2'!F102</f>
        <v>3062.712716763006</v>
      </c>
      <c r="G42" s="254">
        <f t="shared" si="0"/>
        <v>13387676.185895955</v>
      </c>
      <c r="H42" s="255">
        <f>'1.1'!C40</f>
        <v>4563</v>
      </c>
      <c r="I42" s="254" t="s">
        <v>287</v>
      </c>
      <c r="J42" s="257">
        <f t="shared" si="1"/>
        <v>2933.963661165013</v>
      </c>
    </row>
    <row r="43" spans="1:17">
      <c r="A43" s="261" t="s">
        <v>1546</v>
      </c>
      <c r="B43" s="262" t="s">
        <v>1547</v>
      </c>
      <c r="C43" s="896">
        <f>'3.2'!C105</f>
        <v>143278.66263005781</v>
      </c>
      <c r="D43" s="896">
        <f>'3.2'!D105</f>
        <v>986943.93841040472</v>
      </c>
      <c r="E43" s="896">
        <f>'3.2'!E105</f>
        <v>33362.409277456645</v>
      </c>
      <c r="F43" s="896">
        <f>'3.2'!F105</f>
        <v>306.27127167630056</v>
      </c>
      <c r="G43" s="270">
        <f t="shared" si="0"/>
        <v>1163891.2815895954</v>
      </c>
      <c r="H43" s="897">
        <f>'1.1'!C41</f>
        <v>521</v>
      </c>
      <c r="I43" s="270" t="s">
        <v>232</v>
      </c>
      <c r="J43" s="898">
        <f t="shared" si="1"/>
        <v>2233.9563946057492</v>
      </c>
    </row>
    <row r="44" spans="1:17" s="264" customFormat="1">
      <c r="A44" s="902"/>
      <c r="B44" s="902" t="s">
        <v>1</v>
      </c>
      <c r="C44" s="903">
        <f>SUM(C5:C43)</f>
        <v>124888895.78803466</v>
      </c>
      <c r="D44" s="903">
        <f>SUM(D5:D43)</f>
        <v>217194633.18624273</v>
      </c>
      <c r="E44" s="903">
        <f>SUM(E5:E43)</f>
        <v>8474051.9564739875</v>
      </c>
      <c r="F44" s="903">
        <f>SUM(F5:F43)</f>
        <v>77792.903005780376</v>
      </c>
      <c r="G44" s="903">
        <f>SUM(G5:G43)</f>
        <v>350635373.83375716</v>
      </c>
      <c r="H44" s="440"/>
      <c r="I44" s="440"/>
      <c r="J44" s="904"/>
      <c r="L44" s="265"/>
      <c r="N44" s="265"/>
      <c r="O44" s="265"/>
      <c r="P44" s="265"/>
      <c r="Q44" s="265"/>
    </row>
    <row r="45" spans="1:17" s="264" customFormat="1">
      <c r="A45" s="899"/>
      <c r="B45" s="900" t="s">
        <v>360</v>
      </c>
      <c r="C45" s="253"/>
      <c r="D45" s="253"/>
      <c r="E45" s="253"/>
      <c r="F45" s="253"/>
      <c r="G45" s="253">
        <f t="shared" ref="G45:G77" si="2">SUM(C45:F45)</f>
        <v>0</v>
      </c>
      <c r="H45" s="346"/>
      <c r="I45" s="465"/>
      <c r="J45" s="901"/>
      <c r="K45" s="268"/>
      <c r="L45" s="265"/>
      <c r="N45" s="265"/>
      <c r="O45" s="265"/>
      <c r="P45" s="265"/>
      <c r="Q45" s="265"/>
    </row>
    <row r="46" spans="1:17">
      <c r="A46" s="269" t="str">
        <f>+'[2]3.2'!A108</f>
        <v>ศูนย์ต้นทุนสนับสนุน</v>
      </c>
      <c r="B46" s="266"/>
      <c r="C46" s="270"/>
      <c r="D46" s="270"/>
      <c r="E46" s="270"/>
      <c r="F46" s="270"/>
      <c r="G46" s="254">
        <f t="shared" si="2"/>
        <v>0</v>
      </c>
      <c r="H46" s="271"/>
      <c r="I46" s="256"/>
      <c r="J46" s="257"/>
      <c r="K46" s="243"/>
    </row>
    <row r="47" spans="1:17">
      <c r="A47" s="258" t="str">
        <f>+'[2]ตาราง3 '!A49</f>
        <v>1.สำนักผู้อำนวยการ</v>
      </c>
      <c r="B47" s="252" t="str">
        <f>+'[2]ตาราง3 '!B49</f>
        <v>1.1. ควบคุม กำกับ ดูแลการบริหารงานให้เป็นไปตามภาระกิจของโรงพยาบาล</v>
      </c>
      <c r="C47" s="254">
        <f>'3.2'!C109</f>
        <v>1370078.6626300577</v>
      </c>
      <c r="D47" s="254">
        <f>'3.2'!D109</f>
        <v>1204035.8484104048</v>
      </c>
      <c r="E47" s="254">
        <f>'3.2'!E109</f>
        <v>33362.409277456645</v>
      </c>
      <c r="F47" s="254">
        <f>'3.2'!F109</f>
        <v>306.27127167630056</v>
      </c>
      <c r="G47" s="254">
        <f t="shared" si="2"/>
        <v>2607783.1915895953</v>
      </c>
      <c r="H47" s="272">
        <f>'1.1'!C81</f>
        <v>1500</v>
      </c>
      <c r="I47" s="256" t="s">
        <v>241</v>
      </c>
      <c r="J47" s="257">
        <f t="shared" ref="J47:J71" si="3">+G47/H47</f>
        <v>1738.5221277263968</v>
      </c>
      <c r="K47" s="273"/>
      <c r="L47" s="274"/>
      <c r="M47" s="274"/>
      <c r="N47" s="274"/>
      <c r="O47" s="274"/>
      <c r="P47" s="274"/>
      <c r="Q47" s="274"/>
    </row>
    <row r="48" spans="1:17">
      <c r="A48" s="258" t="str">
        <f>+'[2]ตาราง3 '!A50</f>
        <v>2.ฝ่ายบริหารทั่วไป</v>
      </c>
      <c r="B48" s="252" t="str">
        <f>+'[2]ตาราง3 '!B50</f>
        <v>2.1. ตรวจสอบและกลั่นกรองเรื่องต่างๆ เพื่อเสนอผู้บังคับบัญชา สั่งการ</v>
      </c>
      <c r="C48" s="254">
        <f>'3.2'!C112</f>
        <v>916318.66263005789</v>
      </c>
      <c r="D48" s="254">
        <f>'3.2'!D112</f>
        <v>951278.69841040473</v>
      </c>
      <c r="E48" s="254">
        <f>'3.2'!E112</f>
        <v>33362.409277456645</v>
      </c>
      <c r="F48" s="254">
        <f>'3.2'!F112</f>
        <v>306.27127167630056</v>
      </c>
      <c r="G48" s="254">
        <f t="shared" si="2"/>
        <v>1901266.0415895956</v>
      </c>
      <c r="H48" s="272">
        <f>'1.1'!C82</f>
        <v>36773</v>
      </c>
      <c r="I48" s="256" t="s">
        <v>238</v>
      </c>
      <c r="J48" s="257">
        <f t="shared" si="3"/>
        <v>51.702772185831876</v>
      </c>
      <c r="K48" s="273"/>
      <c r="L48" s="274"/>
      <c r="N48" s="274"/>
      <c r="O48" s="274"/>
      <c r="P48" s="274"/>
      <c r="Q48" s="274"/>
    </row>
    <row r="49" spans="1:17">
      <c r="A49" s="258" t="str">
        <f>+'[2]ตาราง3 '!A51</f>
        <v>3.งานธุรการ</v>
      </c>
      <c r="B49" s="252" t="str">
        <f>+'[2]ตาราง3 '!B51</f>
        <v>3.1. ร่างโต้ตอบหนังสือ ภายในหน่วยงานและ ภายนอกหน่วยงาน</v>
      </c>
      <c r="C49" s="254">
        <f>'3.2'!C114</f>
        <v>1254055.2152572256</v>
      </c>
      <c r="D49" s="254">
        <f>'3.2'!D114</f>
        <v>3173276.7888005786</v>
      </c>
      <c r="E49" s="254">
        <f>'3.2'!E114</f>
        <v>130113.39618208092</v>
      </c>
      <c r="F49" s="254">
        <f>'3.2'!F114</f>
        <v>1194.4579595375724</v>
      </c>
      <c r="G49" s="254">
        <f t="shared" si="2"/>
        <v>4558639.8581994222</v>
      </c>
      <c r="H49" s="272">
        <f>'1.1'!C83</f>
        <v>216</v>
      </c>
      <c r="I49" s="256" t="s">
        <v>238</v>
      </c>
      <c r="J49" s="257">
        <f t="shared" si="3"/>
        <v>21104.814158330657</v>
      </c>
      <c r="K49" s="273"/>
      <c r="L49" s="274"/>
      <c r="N49" s="274"/>
      <c r="O49" s="274"/>
      <c r="P49" s="274"/>
      <c r="Q49" s="274"/>
    </row>
    <row r="50" spans="1:17">
      <c r="A50" s="258"/>
      <c r="B50" s="252" t="str">
        <f>+'[2]ตาราง3 '!B52</f>
        <v>3.2.  รับ  ส่งจดหมาย พัสดุ ไปรษณีย์ของทางราชการ</v>
      </c>
      <c r="C50" s="254">
        <f>'3.2'!C115</f>
        <v>675260.50052312156</v>
      </c>
      <c r="D50" s="254">
        <f>'3.2'!D115</f>
        <v>1708687.5016618499</v>
      </c>
      <c r="E50" s="254">
        <f>'3.2'!E115</f>
        <v>70061.059482658966</v>
      </c>
      <c r="F50" s="254">
        <f>'3.2'!F115</f>
        <v>643.16967052023119</v>
      </c>
      <c r="G50" s="254">
        <f t="shared" si="2"/>
        <v>2454652.2313381503</v>
      </c>
      <c r="H50" s="272">
        <f>'1.1'!C84</f>
        <v>7496</v>
      </c>
      <c r="I50" s="256" t="s">
        <v>290</v>
      </c>
      <c r="J50" s="257">
        <f t="shared" si="3"/>
        <v>327.46161037061773</v>
      </c>
      <c r="K50" s="273"/>
      <c r="L50" s="274"/>
      <c r="N50" s="274"/>
      <c r="O50" s="274"/>
      <c r="P50" s="274"/>
      <c r="Q50" s="274"/>
    </row>
    <row r="51" spans="1:17">
      <c r="A51" s="258" t="str">
        <f>+'[2]ตาราง3 '!A53</f>
        <v>4.งานยานพาหนะ</v>
      </c>
      <c r="B51" s="252" t="str">
        <f>+'[2]ตาราง3 '!B53</f>
        <v>4.1. ให้บริการเจ้าหน้าที่ภายในจังหวัด</v>
      </c>
      <c r="C51" s="254">
        <f>'3.2'!C120</f>
        <v>609784.9575231215</v>
      </c>
      <c r="D51" s="254">
        <f>'3.2'!D120</f>
        <v>1979553.5446618504</v>
      </c>
      <c r="E51" s="254">
        <f>'3.2'!E120</f>
        <v>70061.059482658966</v>
      </c>
      <c r="F51" s="254">
        <f>'3.2'!F120</f>
        <v>643.16967052023119</v>
      </c>
      <c r="G51" s="254">
        <f t="shared" si="2"/>
        <v>2660042.7313381513</v>
      </c>
      <c r="H51" s="272">
        <f>'1.1'!C85</f>
        <v>1990</v>
      </c>
      <c r="I51" s="256" t="s">
        <v>241</v>
      </c>
      <c r="J51" s="257">
        <f t="shared" si="3"/>
        <v>1336.704890119674</v>
      </c>
      <c r="K51" s="273"/>
      <c r="L51" s="274"/>
      <c r="N51" s="274"/>
      <c r="O51" s="274"/>
      <c r="P51" s="274"/>
      <c r="Q51" s="274"/>
    </row>
    <row r="52" spans="1:17">
      <c r="A52" s="258"/>
      <c r="B52" s="252" t="str">
        <f>+'[2]ตาราง3 '!B54</f>
        <v>4.2. ให้บริการเจ้าหน้าที่ต่างจังหวัด</v>
      </c>
      <c r="C52" s="254">
        <f>'3.2'!C121</f>
        <v>261336.41036705207</v>
      </c>
      <c r="D52" s="254">
        <f>'3.2'!D121</f>
        <v>848380.09056936437</v>
      </c>
      <c r="E52" s="254">
        <f>'3.2'!E121</f>
        <v>30026.168349710981</v>
      </c>
      <c r="F52" s="254">
        <f>'3.2'!F121</f>
        <v>275.64414450867054</v>
      </c>
      <c r="G52" s="254">
        <f t="shared" si="2"/>
        <v>1140018.3134306362</v>
      </c>
      <c r="H52" s="272">
        <f>'1.1'!C86</f>
        <v>115</v>
      </c>
      <c r="I52" s="256" t="s">
        <v>241</v>
      </c>
      <c r="J52" s="257">
        <f t="shared" si="3"/>
        <v>9913.2027254837922</v>
      </c>
      <c r="K52" s="273"/>
      <c r="L52" s="274"/>
      <c r="N52" s="274"/>
      <c r="O52" s="274"/>
      <c r="P52" s="274"/>
      <c r="Q52" s="274"/>
    </row>
    <row r="53" spans="1:17">
      <c r="A53" s="258" t="str">
        <f>+'[2]ตาราง3 '!A55</f>
        <v>5.งานวิศวกรรมบริการ</v>
      </c>
      <c r="B53" s="252" t="str">
        <f>+'[2]ตาราง3 '!B55</f>
        <v>5.1.  ดูแล บำรุงรักษาเครื่องมือทางการแพทย์ต่างๆ</v>
      </c>
      <c r="C53" s="254">
        <f>'3.2'!C125</f>
        <v>1853844.4257803471</v>
      </c>
      <c r="D53" s="254">
        <f>'3.2'!D125</f>
        <v>5101904.2904624287</v>
      </c>
      <c r="E53" s="254">
        <f>'3.2'!E125</f>
        <v>200174.45566473986</v>
      </c>
      <c r="F53" s="254">
        <f>'3.2'!F125</f>
        <v>1837.6276300578036</v>
      </c>
      <c r="G53" s="254">
        <f t="shared" si="2"/>
        <v>7157760.799537573</v>
      </c>
      <c r="H53" s="272">
        <f>'1.1'!C87</f>
        <v>141</v>
      </c>
      <c r="I53" s="256" t="s">
        <v>291</v>
      </c>
      <c r="J53" s="257">
        <f t="shared" si="3"/>
        <v>50764.260989628179</v>
      </c>
      <c r="K53" s="273"/>
      <c r="L53" s="274"/>
      <c r="N53" s="274"/>
      <c r="O53" s="274"/>
      <c r="P53" s="274"/>
      <c r="Q53" s="274"/>
    </row>
    <row r="54" spans="1:17">
      <c r="A54" s="258" t="s">
        <v>1460</v>
      </c>
      <c r="B54" s="252" t="str">
        <f>+'[2]ตาราง3 '!B56</f>
        <v>6.1. จำนวนรายการเอกสารเบิกจ่ายเงินในระบบ GFMIS</v>
      </c>
      <c r="C54" s="254">
        <f>'3.2'!C128</f>
        <v>2815459.883670521</v>
      </c>
      <c r="D54" s="254">
        <f>'3.2'!D128</f>
        <v>7502670.445693641</v>
      </c>
      <c r="E54" s="254">
        <f>'3.2'!E128</f>
        <v>300261.6834971098</v>
      </c>
      <c r="F54" s="254">
        <f>'3.2'!F128</f>
        <v>2756.4414450867057</v>
      </c>
      <c r="G54" s="254">
        <f t="shared" si="2"/>
        <v>10621148.454306358</v>
      </c>
      <c r="H54" s="272">
        <f>'1.1'!C88</f>
        <v>3707</v>
      </c>
      <c r="I54" s="256" t="s">
        <v>290</v>
      </c>
      <c r="J54" s="257">
        <f t="shared" si="3"/>
        <v>2865.1600901824545</v>
      </c>
      <c r="K54" s="273"/>
      <c r="L54" s="274"/>
      <c r="N54" s="274"/>
      <c r="O54" s="274"/>
      <c r="P54" s="274"/>
      <c r="Q54" s="274"/>
    </row>
    <row r="55" spans="1:17">
      <c r="A55" s="258" t="s">
        <v>502</v>
      </c>
      <c r="B55" s="252" t="str">
        <f>+'[2]ตาราง3 '!B57</f>
        <v>7.1. จำนวนครั้งของการจัดซื้อในระบบ GFMIS</v>
      </c>
      <c r="C55" s="254">
        <f>'3.2'!C131</f>
        <v>2005225.578410405</v>
      </c>
      <c r="D55" s="254">
        <f>'3.2'!D131</f>
        <v>5997709.0088728312</v>
      </c>
      <c r="E55" s="254">
        <f>'3.2'!E131</f>
        <v>233536.86494219652</v>
      </c>
      <c r="F55" s="254">
        <f>'3.2'!F131</f>
        <v>2143.8989017341041</v>
      </c>
      <c r="G55" s="254">
        <f t="shared" si="2"/>
        <v>8238615.3511271672</v>
      </c>
      <c r="H55" s="272">
        <f>'1.1'!C89</f>
        <v>8883</v>
      </c>
      <c r="I55" s="256" t="s">
        <v>241</v>
      </c>
      <c r="J55" s="257">
        <f t="shared" si="3"/>
        <v>927.45866836960113</v>
      </c>
      <c r="K55" s="273"/>
      <c r="L55" s="274"/>
      <c r="N55" s="274"/>
      <c r="O55" s="274"/>
      <c r="P55" s="274"/>
      <c r="Q55" s="274"/>
    </row>
    <row r="56" spans="1:17">
      <c r="A56" s="258" t="s">
        <v>1459</v>
      </c>
      <c r="B56" s="252" t="str">
        <f>+'[2]ตาราง3 '!B58</f>
        <v>8.1. จัดทำแผนเงินงบประมาณ/เงินบำรุง</v>
      </c>
      <c r="C56" s="254">
        <f>'3.2'!C133</f>
        <v>511958.4489450868</v>
      </c>
      <c r="D56" s="254">
        <f>'3.2'!D133</f>
        <v>1255515.0676156073</v>
      </c>
      <c r="E56" s="254">
        <f>'3.2'!E133</f>
        <v>50043.613916184964</v>
      </c>
      <c r="F56" s="254">
        <f>'3.2'!F133</f>
        <v>459.40690751445089</v>
      </c>
      <c r="G56" s="254">
        <f t="shared" si="2"/>
        <v>1817976.5373843936</v>
      </c>
      <c r="H56" s="272">
        <f>'1.1'!C90</f>
        <v>4</v>
      </c>
      <c r="I56" s="256" t="s">
        <v>292</v>
      </c>
      <c r="J56" s="257">
        <f t="shared" si="3"/>
        <v>454494.13434609841</v>
      </c>
      <c r="K56" s="273"/>
      <c r="L56" s="274"/>
      <c r="N56" s="274"/>
      <c r="O56" s="274"/>
      <c r="P56" s="274"/>
      <c r="Q56" s="274"/>
    </row>
    <row r="57" spans="1:17">
      <c r="A57" s="258"/>
      <c r="B57" s="252" t="str">
        <f>+'[2]ตาราง3 '!B59</f>
        <v>8.2. ตรวจสอบและรายงานผลการดำเนินงาน</v>
      </c>
      <c r="C57" s="254">
        <f>'3.2'!C134</f>
        <v>511958.4489450868</v>
      </c>
      <c r="D57" s="254">
        <f>'3.2'!D134</f>
        <v>1255515.0676156073</v>
      </c>
      <c r="E57" s="254">
        <f>'3.2'!E134</f>
        <v>50043.613916184964</v>
      </c>
      <c r="F57" s="254">
        <f>'3.2'!F134</f>
        <v>459.40690751445089</v>
      </c>
      <c r="G57" s="254">
        <f t="shared" si="2"/>
        <v>1817976.5373843936</v>
      </c>
      <c r="H57" s="272">
        <f>'1.1'!C91</f>
        <v>12</v>
      </c>
      <c r="I57" s="256" t="s">
        <v>241</v>
      </c>
      <c r="J57" s="257">
        <f t="shared" si="3"/>
        <v>151498.04478203281</v>
      </c>
      <c r="K57" s="273"/>
      <c r="L57" s="274"/>
      <c r="N57" s="274"/>
      <c r="O57" s="274"/>
      <c r="P57" s="274"/>
      <c r="Q57" s="274"/>
    </row>
    <row r="58" spans="1:17">
      <c r="A58" s="95" t="s">
        <v>1537</v>
      </c>
      <c r="B58" s="252" t="str">
        <f>+'[2]ตาราง3 '!B60</f>
        <v>9.1. ประสานสิทธิและส่งต่อผู้ป่วย</v>
      </c>
      <c r="C58" s="254">
        <f>'3.2'!C137</f>
        <v>318461.16368208098</v>
      </c>
      <c r="D58" s="254">
        <f>'3.2'!D137</f>
        <v>1248088.5897745662</v>
      </c>
      <c r="E58" s="254">
        <f>'3.2'!E137</f>
        <v>46707.372988439303</v>
      </c>
      <c r="F58" s="254">
        <f>'3.2'!F137</f>
        <v>428.77978034682087</v>
      </c>
      <c r="G58" s="254">
        <f t="shared" si="2"/>
        <v>1613685.9062254336</v>
      </c>
      <c r="H58" s="272">
        <f>'1.1'!C92</f>
        <v>1274</v>
      </c>
      <c r="I58" s="256" t="s">
        <v>232</v>
      </c>
      <c r="J58" s="257">
        <f t="shared" si="3"/>
        <v>1266.629439737389</v>
      </c>
      <c r="K58" s="273"/>
      <c r="L58" s="274"/>
      <c r="N58" s="274"/>
      <c r="O58" s="274"/>
      <c r="P58" s="274"/>
      <c r="Q58" s="274"/>
    </row>
    <row r="59" spans="1:17">
      <c r="A59" s="258"/>
      <c r="B59" s="252" t="str">
        <f>+'[2]ตาราง3 '!B61</f>
        <v>9.2. ดำเนินการเรียกเก็บเงินค่ารักษาพยาบาลสิทธิทุกประเภท</v>
      </c>
      <c r="C59" s="254">
        <f>'3.2'!C138</f>
        <v>636922.32736416196</v>
      </c>
      <c r="D59" s="254">
        <f>'3.2'!D138</f>
        <v>2496177.1795491325</v>
      </c>
      <c r="E59" s="254">
        <f>'3.2'!E138</f>
        <v>93414.745976878607</v>
      </c>
      <c r="F59" s="254">
        <f>'3.2'!F138</f>
        <v>857.55956069364174</v>
      </c>
      <c r="G59" s="254">
        <f t="shared" si="2"/>
        <v>3227371.8124508671</v>
      </c>
      <c r="H59" s="272">
        <f>'1.1'!C93</f>
        <v>67365</v>
      </c>
      <c r="I59" s="256" t="s">
        <v>241</v>
      </c>
      <c r="J59" s="257">
        <f t="shared" si="3"/>
        <v>47.908733206425701</v>
      </c>
      <c r="K59" s="273"/>
      <c r="L59" s="274"/>
      <c r="N59" s="274"/>
      <c r="O59" s="274"/>
      <c r="P59" s="274"/>
      <c r="Q59" s="274"/>
    </row>
    <row r="60" spans="1:17">
      <c r="A60" s="258"/>
      <c r="B60" s="252" t="s">
        <v>1533</v>
      </c>
      <c r="C60" s="254">
        <f>'3.2'!C139</f>
        <v>636922.32736416196</v>
      </c>
      <c r="D60" s="254">
        <f>'3.2'!D139</f>
        <v>2496177.1795491325</v>
      </c>
      <c r="E60" s="254">
        <f>'3.2'!E139</f>
        <v>93414.745976878607</v>
      </c>
      <c r="F60" s="254">
        <f>'3.2'!F139</f>
        <v>857.55956069364174</v>
      </c>
      <c r="G60" s="254">
        <f t="shared" si="2"/>
        <v>3227371.8124508671</v>
      </c>
      <c r="H60" s="272">
        <f>'1.1'!C94</f>
        <v>28194</v>
      </c>
      <c r="I60" s="256" t="s">
        <v>232</v>
      </c>
      <c r="J60" s="257">
        <f t="shared" si="3"/>
        <v>114.47016430626613</v>
      </c>
      <c r="K60" s="273"/>
      <c r="L60" s="274"/>
      <c r="N60" s="274"/>
      <c r="O60" s="274"/>
      <c r="P60" s="274"/>
      <c r="Q60" s="274"/>
    </row>
    <row r="61" spans="1:17">
      <c r="A61" s="258" t="s">
        <v>501</v>
      </c>
      <c r="B61" s="252" t="str">
        <f>+'[2]ตาราง3 '!B62</f>
        <v>10.1. จำนวนบุคคลากรเดินทางไปประชุม/สัมมนา</v>
      </c>
      <c r="C61" s="254">
        <f>'3.2'!C143</f>
        <v>516919.31263005786</v>
      </c>
      <c r="D61" s="254">
        <f>'3.2'!D143</f>
        <v>891764.69841040473</v>
      </c>
      <c r="E61" s="254">
        <f>'3.2'!E143</f>
        <v>33362.409277456645</v>
      </c>
      <c r="F61" s="254">
        <f>'3.2'!F143</f>
        <v>306.27127167630056</v>
      </c>
      <c r="G61" s="254">
        <f t="shared" si="2"/>
        <v>1442352.6915895955</v>
      </c>
      <c r="H61" s="272">
        <f>'1.1'!C95</f>
        <v>187</v>
      </c>
      <c r="I61" s="256" t="s">
        <v>232</v>
      </c>
      <c r="J61" s="257">
        <f t="shared" si="3"/>
        <v>7713.1159978053238</v>
      </c>
      <c r="K61" s="273"/>
      <c r="L61" s="274"/>
      <c r="N61" s="274"/>
      <c r="O61" s="274"/>
      <c r="P61" s="274"/>
      <c r="Q61" s="274"/>
    </row>
    <row r="62" spans="1:17">
      <c r="A62" s="258" t="s">
        <v>293</v>
      </c>
      <c r="B62" s="252" t="str">
        <f>+'[2]ตาราง3 '!B63</f>
        <v>11.1. ดำเนินการเกี่ยวกับการพัฒนาทรัพยากรบุคคลในหน่วยงาน</v>
      </c>
      <c r="C62" s="254">
        <f>'3.2'!C146</f>
        <v>497701.81526011566</v>
      </c>
      <c r="D62" s="254">
        <f>'3.2'!D146</f>
        <v>1632442.5368208096</v>
      </c>
      <c r="E62" s="254">
        <f>'3.2'!E146</f>
        <v>66724.81855491329</v>
      </c>
      <c r="F62" s="254">
        <f>'3.2'!F146</f>
        <v>612.54254335260111</v>
      </c>
      <c r="G62" s="254">
        <f t="shared" si="2"/>
        <v>2197481.7131791911</v>
      </c>
      <c r="H62" s="272">
        <f>'1.1'!C96</f>
        <v>8</v>
      </c>
      <c r="I62" s="256" t="s">
        <v>241</v>
      </c>
      <c r="J62" s="257">
        <f t="shared" si="3"/>
        <v>274685.21414739889</v>
      </c>
      <c r="K62" s="273"/>
      <c r="L62" s="274"/>
      <c r="N62" s="274"/>
      <c r="O62" s="274"/>
      <c r="P62" s="274"/>
      <c r="Q62" s="274"/>
    </row>
    <row r="63" spans="1:17">
      <c r="A63" s="258" t="s">
        <v>294</v>
      </c>
      <c r="B63" s="252" t="str">
        <f>+'[2]ตาราง3 '!B64</f>
        <v>12.1. ดำเนินการเกี่ยวกับการประเมินผลการปฏิบัติงานและสมรรถนะเพื่อการเลื่อนเงินเดือน</v>
      </c>
      <c r="C63" s="254">
        <f>'3.2'!C150</f>
        <v>769761.81526011566</v>
      </c>
      <c r="D63" s="254">
        <f>'3.2'!D150</f>
        <v>1603116.4068208095</v>
      </c>
      <c r="E63" s="254">
        <f>'3.2'!E150</f>
        <v>66724.81855491329</v>
      </c>
      <c r="F63" s="254">
        <f>'3.2'!F150</f>
        <v>612.54254335260111</v>
      </c>
      <c r="G63" s="254">
        <f t="shared" si="2"/>
        <v>2440215.5831791908</v>
      </c>
      <c r="H63" s="272">
        <f>'1.1'!C97</f>
        <v>2</v>
      </c>
      <c r="I63" s="256" t="s">
        <v>241</v>
      </c>
      <c r="J63" s="257">
        <f t="shared" si="3"/>
        <v>1220107.7915895954</v>
      </c>
      <c r="K63" s="273"/>
      <c r="L63" s="274"/>
      <c r="N63" s="274"/>
      <c r="O63" s="274"/>
      <c r="P63" s="274"/>
      <c r="Q63" s="274"/>
    </row>
    <row r="64" spans="1:17">
      <c r="A64" s="258" t="str">
        <f>+'[2]ตาราง3 '!A65</f>
        <v>13.งานประชาสัมพันธ์</v>
      </c>
      <c r="B64" s="252" t="str">
        <f>+'[2]ตาราง3 '!B65</f>
        <v>13.1. บริการต้อนรับผู้ป่วยนอก</v>
      </c>
      <c r="C64" s="254">
        <f>'3.2'!C153</f>
        <v>531368.1205202312</v>
      </c>
      <c r="D64" s="254">
        <f>'3.2'!D153</f>
        <v>3545676.0736416192</v>
      </c>
      <c r="E64" s="254">
        <f>'3.2'!E153</f>
        <v>133449.63710982658</v>
      </c>
      <c r="F64" s="254">
        <f>'3.2'!F153</f>
        <v>1225.0850867052022</v>
      </c>
      <c r="G64" s="254">
        <f t="shared" si="2"/>
        <v>4211718.9163583824</v>
      </c>
      <c r="H64" s="272">
        <f>'1.1'!C98</f>
        <v>49375</v>
      </c>
      <c r="I64" s="256" t="s">
        <v>232</v>
      </c>
      <c r="J64" s="257">
        <f t="shared" si="3"/>
        <v>85.300636280676102</v>
      </c>
      <c r="K64" s="273"/>
      <c r="L64" s="274"/>
      <c r="N64" s="274"/>
      <c r="O64" s="274"/>
      <c r="P64" s="274"/>
      <c r="Q64" s="274"/>
    </row>
    <row r="65" spans="1:17">
      <c r="A65" s="258" t="str">
        <f>+'[2]ตาราง3 '!A66</f>
        <v>14.งานเลขานุการ</v>
      </c>
      <c r="B65" s="252" t="str">
        <f>+'[2]ตาราง3 '!B66</f>
        <v>14.1. ตรวจสอบและกลั่นกรองหนังสือเพื่อเสนอผู้อำนวยการ</v>
      </c>
      <c r="C65" s="254">
        <f>'3.2'!C156</f>
        <v>531368.1205202312</v>
      </c>
      <c r="D65" s="254">
        <f>'3.2'!D156</f>
        <v>3736622.603641619</v>
      </c>
      <c r="E65" s="254">
        <f>'3.2'!E156</f>
        <v>133449.63710982658</v>
      </c>
      <c r="F65" s="254">
        <f>'3.2'!F156</f>
        <v>1225.0850867052022</v>
      </c>
      <c r="G65" s="254">
        <f t="shared" si="2"/>
        <v>4402665.4463583818</v>
      </c>
      <c r="H65" s="272">
        <f>'1.1'!C99</f>
        <v>35335</v>
      </c>
      <c r="I65" s="256" t="s">
        <v>238</v>
      </c>
      <c r="J65" s="257">
        <f t="shared" si="3"/>
        <v>124.59786179024711</v>
      </c>
      <c r="K65" s="273"/>
      <c r="L65" s="274"/>
      <c r="N65" s="274"/>
      <c r="O65" s="274"/>
      <c r="P65" s="274"/>
      <c r="Q65" s="274"/>
    </row>
    <row r="66" spans="1:17">
      <c r="A66" s="159" t="s">
        <v>1538</v>
      </c>
      <c r="B66" s="252" t="str">
        <f>+'[2]ตาราง3 '!B67</f>
        <v>15.1. ให้รหัสโรคตามบัญชีจำแนกโรคของผู้ป่วยนอก</v>
      </c>
      <c r="C66" s="254">
        <f>'3.2'!C158</f>
        <v>548422.87231213879</v>
      </c>
      <c r="D66" s="254">
        <f>'3.2'!D158</f>
        <v>2222674.7061849711</v>
      </c>
      <c r="E66" s="254">
        <f>'3.2'!E158</f>
        <v>80069.782265895949</v>
      </c>
      <c r="F66" s="254">
        <f>'3.2'!F158</f>
        <v>735.05105202312131</v>
      </c>
      <c r="G66" s="254">
        <f t="shared" si="2"/>
        <v>2851902.4118150291</v>
      </c>
      <c r="H66" s="272">
        <f>'1.1'!C100</f>
        <v>67049</v>
      </c>
      <c r="I66" s="256" t="s">
        <v>232</v>
      </c>
      <c r="J66" s="257">
        <f t="shared" si="3"/>
        <v>42.534600244821384</v>
      </c>
      <c r="K66" s="273"/>
      <c r="L66" s="274"/>
      <c r="N66" s="274"/>
      <c r="O66" s="274"/>
      <c r="P66" s="274"/>
      <c r="Q66" s="274"/>
    </row>
    <row r="67" spans="1:17">
      <c r="A67" s="258"/>
      <c r="B67" s="252" t="str">
        <f>+'[2]ตาราง3 '!B68</f>
        <v>15.2. ให้รหัสโรคตามบัญชีจำแนกโรคของผู้ป่วยใน</v>
      </c>
      <c r="C67" s="254">
        <f>'3.2'!C159</f>
        <v>365615.24820809253</v>
      </c>
      <c r="D67" s="254">
        <f>'3.2'!D159</f>
        <v>1481783.1374566474</v>
      </c>
      <c r="E67" s="254">
        <f>'3.2'!E159</f>
        <v>53379.854843930632</v>
      </c>
      <c r="F67" s="254">
        <f>'3.2'!F159</f>
        <v>490.03403468208091</v>
      </c>
      <c r="G67" s="254">
        <f t="shared" si="2"/>
        <v>1901268.2745433524</v>
      </c>
      <c r="H67" s="272">
        <f>'1.1'!C101</f>
        <v>2848</v>
      </c>
      <c r="I67" s="256" t="s">
        <v>232</v>
      </c>
      <c r="J67" s="257">
        <f t="shared" si="3"/>
        <v>667.5801525784243</v>
      </c>
      <c r="K67" s="273"/>
      <c r="L67" s="274"/>
      <c r="N67" s="274"/>
      <c r="O67" s="274"/>
      <c r="P67" s="274"/>
      <c r="Q67" s="274"/>
    </row>
    <row r="68" spans="1:17">
      <c r="A68" s="258" t="str">
        <f>+'[2]ตาราง3 '!A69</f>
        <v>16.งานเวชระเบียนและสถิติ</v>
      </c>
      <c r="B68" s="252" t="s">
        <v>1491</v>
      </c>
      <c r="C68" s="254">
        <f>'3.2'!C162</f>
        <v>723466.4627052024</v>
      </c>
      <c r="D68" s="254">
        <f>'3.2'!D162</f>
        <v>2947433.4904364161</v>
      </c>
      <c r="E68" s="254">
        <f>'3.2'!E162</f>
        <v>116768.43247109825</v>
      </c>
      <c r="F68" s="254">
        <f>'3.2'!F162</f>
        <v>1071.9494508670521</v>
      </c>
      <c r="G68" s="254">
        <f t="shared" si="2"/>
        <v>3788740.3350635841</v>
      </c>
      <c r="H68" s="272">
        <f>'1.1'!C102</f>
        <v>32576</v>
      </c>
      <c r="I68" s="256" t="s">
        <v>232</v>
      </c>
      <c r="J68" s="257">
        <f t="shared" si="3"/>
        <v>116.30465173942731</v>
      </c>
      <c r="K68" s="273"/>
      <c r="L68" s="274"/>
      <c r="N68" s="274"/>
      <c r="O68" s="274"/>
      <c r="P68" s="274"/>
      <c r="Q68" s="274"/>
    </row>
    <row r="69" spans="1:17">
      <c r="A69" s="258"/>
      <c r="B69" s="252" t="s">
        <v>1492</v>
      </c>
      <c r="C69" s="254">
        <f>'3.2'!C163</f>
        <v>723466.4627052024</v>
      </c>
      <c r="D69" s="254">
        <f>'3.2'!D163</f>
        <v>2947433.4904364161</v>
      </c>
      <c r="E69" s="254">
        <f>'3.2'!E163</f>
        <v>116768.43247109825</v>
      </c>
      <c r="F69" s="254">
        <f>'3.2'!F163</f>
        <v>1071.9494508670521</v>
      </c>
      <c r="G69" s="254">
        <f t="shared" si="2"/>
        <v>3788740.3350635841</v>
      </c>
      <c r="H69" s="272">
        <f>'1.1'!C103</f>
        <v>0</v>
      </c>
      <c r="I69" s="256" t="s">
        <v>232</v>
      </c>
      <c r="J69" s="257">
        <f>+G69/G69</f>
        <v>1</v>
      </c>
      <c r="K69" s="273"/>
      <c r="L69" s="274"/>
      <c r="N69" s="274"/>
      <c r="O69" s="274"/>
      <c r="P69" s="274"/>
      <c r="Q69" s="274"/>
    </row>
    <row r="70" spans="1:17">
      <c r="A70" s="258"/>
      <c r="B70" s="252" t="s">
        <v>1496</v>
      </c>
      <c r="C70" s="254">
        <f>'3.2'!C164</f>
        <v>620114.11089017347</v>
      </c>
      <c r="D70" s="254">
        <f>'3.2'!D164</f>
        <v>2526371.5632312144</v>
      </c>
      <c r="E70" s="254">
        <f>'3.2'!E164</f>
        <v>100087.22783236993</v>
      </c>
      <c r="F70" s="254">
        <f>'3.2'!F164</f>
        <v>918.81381502890179</v>
      </c>
      <c r="G70" s="254">
        <f t="shared" si="2"/>
        <v>3247491.7157687866</v>
      </c>
      <c r="H70" s="272">
        <f>'1.1'!C104</f>
        <v>266</v>
      </c>
      <c r="I70" s="256" t="s">
        <v>232</v>
      </c>
      <c r="J70" s="257">
        <f t="shared" si="3"/>
        <v>12208.615472814987</v>
      </c>
      <c r="K70" s="273"/>
      <c r="L70" s="274"/>
      <c r="N70" s="274"/>
      <c r="O70" s="274"/>
      <c r="P70" s="274"/>
      <c r="Q70" s="274"/>
    </row>
    <row r="71" spans="1:17">
      <c r="A71" s="258" t="str">
        <f>+'[2]ตาราง3 '!A72</f>
        <v>17.งานทะเบียนมะเร็ง</v>
      </c>
      <c r="B71" s="252" t="s">
        <v>1543</v>
      </c>
      <c r="C71" s="254">
        <f>'3.2'!C168</f>
        <v>908028.12052023131</v>
      </c>
      <c r="D71" s="254">
        <f>'3.2'!D168</f>
        <v>3399225.9736416191</v>
      </c>
      <c r="E71" s="254">
        <f>'3.2'!E168</f>
        <v>133449.63710982658</v>
      </c>
      <c r="F71" s="254">
        <f>'3.2'!F168</f>
        <v>1225.0850867052022</v>
      </c>
      <c r="G71" s="254">
        <f t="shared" si="2"/>
        <v>4441928.8163583819</v>
      </c>
      <c r="H71" s="272">
        <f>'1.1'!C105</f>
        <v>13720</v>
      </c>
      <c r="I71" s="256" t="s">
        <v>287</v>
      </c>
      <c r="J71" s="257">
        <f t="shared" si="3"/>
        <v>323.75574463253514</v>
      </c>
      <c r="K71" s="273"/>
      <c r="L71" s="274"/>
      <c r="N71" s="274"/>
      <c r="O71" s="274"/>
      <c r="P71" s="274"/>
      <c r="Q71" s="274"/>
    </row>
    <row r="72" spans="1:17">
      <c r="A72" s="258" t="s">
        <v>1498</v>
      </c>
      <c r="B72" s="252" t="s">
        <v>1544</v>
      </c>
      <c r="C72" s="254">
        <f>'3.2'!C171</f>
        <v>674054.96789017355</v>
      </c>
      <c r="D72" s="254">
        <f>'3.2'!D171</f>
        <v>2509327.6252312143</v>
      </c>
      <c r="E72" s="254">
        <f>'3.2'!E171</f>
        <v>100087.22783236993</v>
      </c>
      <c r="F72" s="254">
        <f>'3.2'!F171</f>
        <v>918.81381502890179</v>
      </c>
      <c r="G72" s="254">
        <f t="shared" si="2"/>
        <v>3284388.6347687868</v>
      </c>
      <c r="H72" s="272">
        <f>'1.1'!C106</f>
        <v>732</v>
      </c>
      <c r="I72" s="256" t="s">
        <v>241</v>
      </c>
      <c r="J72" s="257">
        <f t="shared" ref="J72:J77" si="4">+G72/H72</f>
        <v>4486.8697196294906</v>
      </c>
      <c r="K72" s="273"/>
      <c r="L72" s="274"/>
      <c r="N72" s="274"/>
      <c r="O72" s="274"/>
      <c r="P72" s="274"/>
      <c r="Q72" s="274"/>
    </row>
    <row r="73" spans="1:17">
      <c r="A73" s="258" t="s">
        <v>1535</v>
      </c>
      <c r="B73" s="252" t="s">
        <v>1545</v>
      </c>
      <c r="C73" s="254">
        <f>'3.2'!C174</f>
        <v>1177684.9678901734</v>
      </c>
      <c r="D73" s="254">
        <f>'3.2'!D174</f>
        <v>2289021.1252312143</v>
      </c>
      <c r="E73" s="254">
        <f>'3.2'!E174</f>
        <v>100087.22783236993</v>
      </c>
      <c r="F73" s="254">
        <f>'3.2'!F174</f>
        <v>918.81381502890179</v>
      </c>
      <c r="G73" s="254">
        <f t="shared" si="2"/>
        <v>3567712.1347687868</v>
      </c>
      <c r="H73" s="272">
        <f>'1.1'!C107</f>
        <v>1140</v>
      </c>
      <c r="I73" s="256" t="s">
        <v>241</v>
      </c>
      <c r="J73" s="257">
        <f t="shared" si="4"/>
        <v>3129.5720480427954</v>
      </c>
      <c r="K73" s="273"/>
      <c r="L73" s="274"/>
      <c r="N73" s="274"/>
      <c r="O73" s="274"/>
      <c r="P73" s="274"/>
      <c r="Q73" s="274"/>
    </row>
    <row r="74" spans="1:17">
      <c r="A74" s="258" t="s">
        <v>1499</v>
      </c>
      <c r="B74" s="252" t="s">
        <v>1539</v>
      </c>
      <c r="C74" s="254">
        <f>'3.2'!C177</f>
        <v>1361028.4980462429</v>
      </c>
      <c r="D74" s="254">
        <f>'3.2'!D177</f>
        <v>4208716.0503237005</v>
      </c>
      <c r="E74" s="254">
        <f>'3.2'!E177</f>
        <v>140122.11896531793</v>
      </c>
      <c r="F74" s="254">
        <f>'3.2'!F177</f>
        <v>1286.3393410404624</v>
      </c>
      <c r="G74" s="254">
        <f t="shared" si="2"/>
        <v>5711153.0066763014</v>
      </c>
      <c r="H74" s="272">
        <f>'1.1'!C108</f>
        <v>21662</v>
      </c>
      <c r="I74" s="256" t="s">
        <v>232</v>
      </c>
      <c r="J74" s="257">
        <f t="shared" si="4"/>
        <v>263.64846305402557</v>
      </c>
      <c r="K74" s="273"/>
      <c r="L74" s="274"/>
      <c r="N74" s="274"/>
      <c r="O74" s="274"/>
      <c r="P74" s="274"/>
      <c r="Q74" s="274"/>
    </row>
    <row r="75" spans="1:17">
      <c r="A75" s="258"/>
      <c r="B75" s="252" t="s">
        <v>1540</v>
      </c>
      <c r="C75" s="254">
        <f>'3.2'!C178</f>
        <v>583297.9277341041</v>
      </c>
      <c r="D75" s="254">
        <f>'3.2'!D178</f>
        <v>1803735.4501387286</v>
      </c>
      <c r="E75" s="254">
        <f>'3.2'!E178</f>
        <v>60052.336699421961</v>
      </c>
      <c r="F75" s="254">
        <f>'3.2'!F178</f>
        <v>551.28828901734107</v>
      </c>
      <c r="G75" s="254">
        <f t="shared" si="2"/>
        <v>2447637.0028612721</v>
      </c>
      <c r="H75" s="272">
        <f>'1.1'!C109</f>
        <v>2</v>
      </c>
      <c r="I75" s="256" t="s">
        <v>241</v>
      </c>
      <c r="J75" s="257">
        <f t="shared" si="4"/>
        <v>1223818.501430636</v>
      </c>
      <c r="K75" s="273"/>
      <c r="L75" s="274"/>
      <c r="N75" s="274"/>
      <c r="O75" s="274"/>
      <c r="P75" s="274"/>
      <c r="Q75" s="274"/>
    </row>
    <row r="76" spans="1:17">
      <c r="A76" s="258" t="s">
        <v>1503</v>
      </c>
      <c r="B76" s="252" t="s">
        <v>1541</v>
      </c>
      <c r="C76" s="254">
        <f>'3.2'!C181</f>
        <v>1707035.8705202311</v>
      </c>
      <c r="D76" s="254">
        <f>'3.2'!D181</f>
        <v>2886456.8436416183</v>
      </c>
      <c r="E76" s="254">
        <f>'3.2'!E181</f>
        <v>133449.63710982658</v>
      </c>
      <c r="F76" s="254">
        <f>'3.2'!F181</f>
        <v>1225.0850867052022</v>
      </c>
      <c r="G76" s="254">
        <f t="shared" si="2"/>
        <v>4728167.4363583811</v>
      </c>
      <c r="H76" s="272">
        <f>'1.1'!C111</f>
        <v>12</v>
      </c>
      <c r="I76" s="256" t="s">
        <v>241</v>
      </c>
      <c r="J76" s="257">
        <f t="shared" si="4"/>
        <v>394013.95302986511</v>
      </c>
      <c r="K76" s="273"/>
      <c r="L76" s="274"/>
      <c r="N76" s="274"/>
      <c r="O76" s="274"/>
      <c r="P76" s="274"/>
      <c r="Q76" s="274"/>
    </row>
    <row r="77" spans="1:17">
      <c r="A77" s="258" t="s">
        <v>1504</v>
      </c>
      <c r="B77" s="448" t="s">
        <v>1542</v>
      </c>
      <c r="C77" s="270">
        <f>'3.2'!C185</f>
        <v>272641.82526011561</v>
      </c>
      <c r="D77" s="270">
        <f>'3.2'!D185</f>
        <v>1728913.5868208096</v>
      </c>
      <c r="E77" s="270">
        <f>'3.2'!E185</f>
        <v>66724.81855491329</v>
      </c>
      <c r="F77" s="270">
        <f>'3.2'!F185</f>
        <v>612.54254335260111</v>
      </c>
      <c r="G77" s="270">
        <f t="shared" si="2"/>
        <v>2068892.7731791912</v>
      </c>
      <c r="H77" s="926">
        <f>'1.1'!C111</f>
        <v>12</v>
      </c>
      <c r="I77" s="460" t="s">
        <v>241</v>
      </c>
      <c r="J77" s="898">
        <f t="shared" si="4"/>
        <v>172407.73109826594</v>
      </c>
      <c r="K77" s="273"/>
      <c r="L77" s="274"/>
      <c r="N77" s="274"/>
      <c r="O77" s="274"/>
      <c r="P77" s="274"/>
      <c r="Q77" s="274"/>
    </row>
    <row r="78" spans="1:17">
      <c r="A78" s="275"/>
      <c r="B78" s="275" t="s">
        <v>1</v>
      </c>
      <c r="C78" s="903">
        <f>SUM(C47:C77)</f>
        <v>26889563.531965315</v>
      </c>
      <c r="D78" s="903">
        <f>SUM(D47:D77)</f>
        <v>79579684.66375725</v>
      </c>
      <c r="E78" s="903">
        <f>SUM(E47:E77)</f>
        <v>3069341.6535260119</v>
      </c>
      <c r="F78" s="903">
        <f>SUM(F47:F77)</f>
        <v>28176.956994219654</v>
      </c>
      <c r="G78" s="903">
        <f>SUM(G47:G77)</f>
        <v>109566766.80624276</v>
      </c>
      <c r="H78" s="903"/>
      <c r="I78" s="903"/>
      <c r="J78" s="927"/>
      <c r="K78" s="273"/>
      <c r="L78" s="274"/>
      <c r="N78" s="274"/>
      <c r="O78" s="274"/>
      <c r="P78" s="274"/>
      <c r="Q78" s="274"/>
    </row>
    <row r="79" spans="1:17" s="264" customFormat="1" ht="24.75" thickBot="1">
      <c r="A79" s="277"/>
      <c r="B79" s="277" t="s">
        <v>361</v>
      </c>
      <c r="C79" s="278">
        <f>+C44+C78</f>
        <v>151778459.31999999</v>
      </c>
      <c r="D79" s="278">
        <f>+D44+D78</f>
        <v>296774317.84999996</v>
      </c>
      <c r="E79" s="278">
        <f>+E44+E78</f>
        <v>11543393.609999999</v>
      </c>
      <c r="F79" s="278">
        <f>+F44+F78</f>
        <v>105969.86000000003</v>
      </c>
      <c r="G79" s="278">
        <f>+G44+G78</f>
        <v>460202140.63999993</v>
      </c>
      <c r="H79" s="278"/>
      <c r="I79" s="278"/>
      <c r="J79" s="278"/>
      <c r="K79" s="279"/>
      <c r="L79" s="280"/>
      <c r="N79" s="280"/>
      <c r="O79" s="280"/>
      <c r="P79" s="280"/>
      <c r="Q79" s="280"/>
    </row>
    <row r="80" spans="1:17" s="264" customFormat="1" ht="24.75" thickTop="1">
      <c r="A80" s="242"/>
      <c r="B80" s="242"/>
      <c r="C80" s="239"/>
      <c r="D80" s="239"/>
      <c r="E80" s="239"/>
      <c r="F80" s="243">
        <f>E79+F79</f>
        <v>11649363.469999999</v>
      </c>
      <c r="G80" s="239"/>
      <c r="H80" s="239"/>
      <c r="I80" s="239"/>
      <c r="J80" s="239"/>
      <c r="L80" s="281"/>
      <c r="N80" s="281"/>
      <c r="O80" s="281"/>
      <c r="P80" s="281"/>
      <c r="Q80" s="281"/>
    </row>
    <row r="81" spans="3:7">
      <c r="C81" s="243"/>
      <c r="D81" s="243"/>
      <c r="E81" s="243"/>
      <c r="F81" s="243"/>
      <c r="G81" s="243"/>
    </row>
    <row r="82" spans="3:7">
      <c r="C82" s="243"/>
      <c r="D82" s="243"/>
      <c r="E82" s="243"/>
      <c r="F82" s="243"/>
    </row>
    <row r="83" spans="3:7">
      <c r="C83" s="243"/>
      <c r="D83" s="243"/>
      <c r="E83" s="243"/>
      <c r="F83" s="243"/>
      <c r="G83" s="243"/>
    </row>
    <row r="84" spans="3:7">
      <c r="C84" s="243"/>
      <c r="D84" s="243"/>
      <c r="E84" s="243"/>
      <c r="F84" s="243"/>
    </row>
    <row r="85" spans="3:7">
      <c r="F85" s="243"/>
    </row>
  </sheetData>
  <mergeCells count="3">
    <mergeCell ref="A1:J1"/>
    <mergeCell ref="N3:O3"/>
    <mergeCell ref="P3:Q3"/>
  </mergeCells>
  <pageMargins left="0.19" right="0.17" top="0.511811023622047" bottom="0.43307086614173201" header="0.31496062992126" footer="0.31496062992126"/>
  <pageSetup paperSize="9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66"/>
  <sheetViews>
    <sheetView topLeftCell="A19" workbookViewId="0">
      <selection activeCell="J37" sqref="J37"/>
    </sheetView>
  </sheetViews>
  <sheetFormatPr defaultRowHeight="21" customHeight="1"/>
  <cols>
    <col min="1" max="1" width="54.7109375" style="239" customWidth="1"/>
    <col min="2" max="2" width="19.28515625" style="239" customWidth="1"/>
    <col min="3" max="3" width="20.140625" style="239" customWidth="1"/>
    <col min="4" max="5" width="17.7109375" style="239" customWidth="1"/>
    <col min="6" max="6" width="25.140625" style="239" bestFit="1" customWidth="1"/>
    <col min="7" max="7" width="9.140625" style="239"/>
    <col min="8" max="11" width="9.140625" style="240"/>
    <col min="12" max="16384" width="9.140625" style="239"/>
  </cols>
  <sheetData>
    <row r="1" spans="1:11" ht="21" customHeight="1">
      <c r="A1" s="264" t="s">
        <v>362</v>
      </c>
      <c r="B1" s="264"/>
      <c r="C1" s="264"/>
      <c r="D1" s="264"/>
      <c r="E1" s="264"/>
      <c r="F1" s="264"/>
      <c r="H1" s="282"/>
      <c r="I1" s="282"/>
      <c r="J1" s="282"/>
      <c r="K1" s="282"/>
    </row>
    <row r="2" spans="1:11" ht="21" customHeight="1">
      <c r="A2" s="283" t="s">
        <v>226</v>
      </c>
      <c r="B2" s="284" t="s">
        <v>3</v>
      </c>
      <c r="C2" s="284" t="s">
        <v>2</v>
      </c>
      <c r="D2" s="284" t="s">
        <v>0</v>
      </c>
      <c r="E2" s="284" t="s">
        <v>0</v>
      </c>
      <c r="F2" s="284" t="s">
        <v>1</v>
      </c>
      <c r="H2" s="285"/>
      <c r="I2" s="285"/>
      <c r="J2" s="285"/>
      <c r="K2" s="285"/>
    </row>
    <row r="3" spans="1:11" ht="21" customHeight="1">
      <c r="A3" s="286" t="s">
        <v>312</v>
      </c>
      <c r="B3" s="287">
        <f>'ปันส่วนเงินงบประมาณ 2'!K6</f>
        <v>1489738.6626300577</v>
      </c>
      <c r="C3" s="287">
        <f>ปันส่วนเงินนอกงบประมาณ!L7</f>
        <v>1034347.6884104047</v>
      </c>
      <c r="D3" s="287">
        <f>'ตาราง 2'!E6</f>
        <v>33362.409277456645</v>
      </c>
      <c r="E3" s="287">
        <f>ปันส่วนเงินนอกงบประมาณ!N7</f>
        <v>306.27127167630056</v>
      </c>
      <c r="F3" s="288">
        <f>SUM(B3:E3)</f>
        <v>2557755.0315895956</v>
      </c>
      <c r="G3" s="289"/>
      <c r="H3" s="285"/>
      <c r="I3" s="282"/>
      <c r="J3" s="282"/>
      <c r="K3" s="282"/>
    </row>
    <row r="4" spans="1:11" ht="21" customHeight="1">
      <c r="A4" s="290" t="s">
        <v>313</v>
      </c>
      <c r="B4" s="291">
        <f>'ปันส่วนเงินงบประมาณ 2'!K7</f>
        <v>2093604.9678901734</v>
      </c>
      <c r="C4" s="291">
        <f>ปันส่วนเงินนอกงบประมาณ!L8</f>
        <v>3019430.3452312145</v>
      </c>
      <c r="D4" s="291">
        <f>'ตาราง 2'!E7</f>
        <v>100087.22783236994</v>
      </c>
      <c r="E4" s="291">
        <f>ปันส่วนเงินนอกงบประมาณ!N8</f>
        <v>918.81381502890179</v>
      </c>
      <c r="F4" s="292">
        <f t="shared" ref="F4:F53" si="0">SUM(B4:E4)</f>
        <v>5214041.3547687866</v>
      </c>
      <c r="G4" s="289"/>
      <c r="H4" s="282"/>
      <c r="I4" s="282"/>
      <c r="J4" s="282"/>
      <c r="K4" s="282"/>
    </row>
    <row r="5" spans="1:11" ht="21" customHeight="1">
      <c r="A5" s="290" t="s">
        <v>314</v>
      </c>
      <c r="B5" s="291">
        <f>'ปันส่วนเงินงบประมาณ 2'!K8</f>
        <v>1542754.3426300576</v>
      </c>
      <c r="C5" s="291">
        <f>ปันส่วนเงินนอกงบประมาณ!L9</f>
        <v>997990.2784104048</v>
      </c>
      <c r="D5" s="291">
        <f>'ตาราง 2'!E8</f>
        <v>33362.409277456645</v>
      </c>
      <c r="E5" s="291">
        <f>ปันส่วนเงินนอกงบประมาณ!N9</f>
        <v>306.27127167630056</v>
      </c>
      <c r="F5" s="292">
        <f t="shared" si="0"/>
        <v>2574413.3015895956</v>
      </c>
      <c r="G5" s="289"/>
      <c r="H5" s="282"/>
      <c r="I5" s="282"/>
      <c r="J5" s="282"/>
      <c r="K5" s="282"/>
    </row>
    <row r="6" spans="1:11" ht="21" customHeight="1">
      <c r="A6" s="290" t="s">
        <v>315</v>
      </c>
      <c r="B6" s="291">
        <f>'ปันส่วนเงินงบประมาณ 2'!K9</f>
        <v>4080861.2731502894</v>
      </c>
      <c r="C6" s="291">
        <f>ปันส่วนเงินนอกงบประมาณ!L10</f>
        <v>5179868.0220520226</v>
      </c>
      <c r="D6" s="291">
        <f>'ตาราง 2'!E9</f>
        <v>166812.04638728322</v>
      </c>
      <c r="E6" s="291">
        <f>ปันส่วนเงินนอกงบประมาณ!N10</f>
        <v>1531.356358381503</v>
      </c>
      <c r="F6" s="292">
        <f t="shared" si="0"/>
        <v>9429072.6979479752</v>
      </c>
      <c r="G6" s="289"/>
      <c r="H6" s="282"/>
      <c r="I6" s="282"/>
      <c r="J6" s="282"/>
      <c r="K6" s="282"/>
    </row>
    <row r="7" spans="1:11" ht="21" customHeight="1">
      <c r="A7" s="290" t="s">
        <v>316</v>
      </c>
      <c r="B7" s="291">
        <f>'ปันส่วนเงินงบประมาณ 2'!K10</f>
        <v>3470685.1378901731</v>
      </c>
      <c r="C7" s="291">
        <f>ปันส่วนเงินนอกงบประมาณ!L11</f>
        <v>3205297.1352312146</v>
      </c>
      <c r="D7" s="291">
        <f>'ตาราง 2'!E10</f>
        <v>100087.22783236994</v>
      </c>
      <c r="E7" s="291">
        <f>ปันส่วนเงินนอกงบประมาณ!N11</f>
        <v>918.81381502890179</v>
      </c>
      <c r="F7" s="292">
        <f t="shared" si="0"/>
        <v>6776988.3147687865</v>
      </c>
      <c r="G7" s="289"/>
      <c r="H7" s="282"/>
      <c r="I7" s="282"/>
      <c r="J7" s="282"/>
      <c r="K7" s="282"/>
    </row>
    <row r="8" spans="1:11" ht="21" customHeight="1">
      <c r="A8" s="290" t="s">
        <v>317</v>
      </c>
      <c r="B8" s="291">
        <f>'ปันส่วนเงินงบประมาณ 2'!K11</f>
        <v>0</v>
      </c>
      <c r="C8" s="291">
        <f>ปันส่วนเงินนอกงบประมาณ!L12</f>
        <v>0</v>
      </c>
      <c r="D8" s="291">
        <f>'ตาราง 2'!E11</f>
        <v>0</v>
      </c>
      <c r="E8" s="291">
        <f>ปันส่วนเงินนอกงบประมาณ!N12</f>
        <v>0</v>
      </c>
      <c r="F8" s="292">
        <f t="shared" si="0"/>
        <v>0</v>
      </c>
      <c r="G8" s="289"/>
      <c r="H8" s="282"/>
      <c r="I8" s="282"/>
      <c r="J8" s="282"/>
      <c r="K8" s="282"/>
    </row>
    <row r="9" spans="1:11" ht="21" customHeight="1">
      <c r="A9" s="290" t="s">
        <v>318</v>
      </c>
      <c r="B9" s="291">
        <f>'ปันส่วนเงินงบประมาณ 2'!K12</f>
        <v>12245372.165751444</v>
      </c>
      <c r="C9" s="291">
        <f>ปันส่วนเงินนอกงบประมาณ!L13</f>
        <v>22788138.440260112</v>
      </c>
      <c r="D9" s="291">
        <f>'ตาราง 2'!E12</f>
        <v>834060.23193641624</v>
      </c>
      <c r="E9" s="291">
        <f>ปันส่วนเงินนอกงบประมาณ!N13</f>
        <v>7656.7817919075142</v>
      </c>
      <c r="F9" s="292">
        <f t="shared" si="0"/>
        <v>35875227.619739883</v>
      </c>
      <c r="G9" s="289"/>
      <c r="H9" s="282"/>
      <c r="I9" s="282"/>
      <c r="J9" s="282"/>
      <c r="K9" s="282"/>
    </row>
    <row r="10" spans="1:11" ht="21" customHeight="1">
      <c r="A10" s="290" t="s">
        <v>319</v>
      </c>
      <c r="B10" s="291">
        <f>'ปันส่วนเงินงบประมาณ 2'!K13</f>
        <v>6186721.8941907519</v>
      </c>
      <c r="C10" s="291">
        <f>ปันส่วนเงินนอกงบประมาณ!L14</f>
        <v>12298684.679335261</v>
      </c>
      <c r="D10" s="291">
        <f>'ตาราง 2'!E13</f>
        <v>433711.32060693641</v>
      </c>
      <c r="E10" s="291">
        <f>ปันส่วนเงินนอกงบประมาณ!N14</f>
        <v>3981.5265317919075</v>
      </c>
      <c r="F10" s="292">
        <f t="shared" si="0"/>
        <v>18923099.420664743</v>
      </c>
      <c r="G10" s="289"/>
      <c r="H10" s="282"/>
      <c r="I10" s="282"/>
      <c r="J10" s="282"/>
      <c r="K10" s="282"/>
    </row>
    <row r="11" spans="1:11" ht="21" customHeight="1">
      <c r="A11" s="290" t="s">
        <v>320</v>
      </c>
      <c r="B11" s="291">
        <f>'ปันส่วนเงินงบประมาณ 2'!K14</f>
        <v>6434649.6436705207</v>
      </c>
      <c r="C11" s="291">
        <f>ปันส่วนเงินนอกงบประมาณ!L15</f>
        <v>8321652.695693641</v>
      </c>
      <c r="D11" s="291">
        <f>'ตาราง 2'!E14</f>
        <v>300261.6834971098</v>
      </c>
      <c r="E11" s="291">
        <f>ปันส่วนเงินนอกงบประมาณ!N15</f>
        <v>2756.4414450867052</v>
      </c>
      <c r="F11" s="292">
        <f t="shared" si="0"/>
        <v>15059320.464306358</v>
      </c>
      <c r="G11" s="289"/>
      <c r="H11" s="282"/>
      <c r="I11" s="282"/>
      <c r="J11" s="282"/>
      <c r="K11" s="282"/>
    </row>
    <row r="12" spans="1:11" ht="21" customHeight="1">
      <c r="A12" s="290" t="s">
        <v>321</v>
      </c>
      <c r="B12" s="291">
        <f>'ปันส่วนเงินงบประมาณ 2'!K15</f>
        <v>1530574.4257803471</v>
      </c>
      <c r="C12" s="291">
        <f>ปันส่วนเงินนอกงบประมาณ!L16</f>
        <v>4819126.3804624286</v>
      </c>
      <c r="D12" s="291">
        <f>'ตาราง 2'!E15</f>
        <v>200174.45566473989</v>
      </c>
      <c r="E12" s="291">
        <f>ปันส่วนเงินนอกงบประมาณ!N16</f>
        <v>1837.6276300578036</v>
      </c>
      <c r="F12" s="292">
        <f t="shared" si="0"/>
        <v>6551712.8895375729</v>
      </c>
      <c r="G12" s="289"/>
      <c r="H12" s="282"/>
      <c r="I12" s="282"/>
      <c r="J12" s="282"/>
      <c r="K12" s="282"/>
    </row>
    <row r="13" spans="1:11" ht="21" customHeight="1">
      <c r="A13" s="290" t="s">
        <v>322</v>
      </c>
      <c r="B13" s="291">
        <f>'ปันส่วนเงินงบประมาณ 2'!K16</f>
        <v>951138.12052023131</v>
      </c>
      <c r="C13" s="291">
        <f>ปันส่วนเงินนอกงบประมาณ!L17</f>
        <v>3655410.5636416189</v>
      </c>
      <c r="D13" s="291">
        <f>'ตาราง 2'!E16</f>
        <v>133449.63710982658</v>
      </c>
      <c r="E13" s="291">
        <f>ปันส่วนเงินนอกงบประมาณ!N17</f>
        <v>1225.0850867052022</v>
      </c>
      <c r="F13" s="292">
        <f t="shared" si="0"/>
        <v>4741223.4063583817</v>
      </c>
      <c r="G13" s="289"/>
      <c r="H13" s="282"/>
      <c r="I13" s="282"/>
      <c r="J13" s="282"/>
      <c r="K13" s="282"/>
    </row>
    <row r="14" spans="1:11" ht="21" customHeight="1">
      <c r="A14" s="290" t="s">
        <v>250</v>
      </c>
      <c r="B14" s="291">
        <f>'ปันส่วนเงินงบประมาณ 2'!K17</f>
        <v>2058900.6931502889</v>
      </c>
      <c r="C14" s="291">
        <f>ปันส่วนเงินนอกงบประมาณ!L18</f>
        <v>3784270.0420520231</v>
      </c>
      <c r="D14" s="291">
        <f>'ตาราง 2'!E17</f>
        <v>166812.04638728322</v>
      </c>
      <c r="E14" s="291">
        <f>ปันส่วนเงินนอกงบประมาณ!N18</f>
        <v>1531.356358381503</v>
      </c>
      <c r="F14" s="292">
        <f t="shared" si="0"/>
        <v>6011514.1379479775</v>
      </c>
      <c r="G14" s="289"/>
      <c r="H14" s="282"/>
      <c r="I14" s="282"/>
      <c r="J14" s="282"/>
      <c r="K14" s="282"/>
    </row>
    <row r="15" spans="1:11" ht="21" customHeight="1">
      <c r="A15" s="290" t="s">
        <v>323</v>
      </c>
      <c r="B15" s="291">
        <f>'ปันส่วนเงินงบประมาณ 2'!K18</f>
        <v>9319140.8678612709</v>
      </c>
      <c r="C15" s="291">
        <f>ปันส่วนเงินนอกงบประมาณ!L19</f>
        <v>19271653.925028898</v>
      </c>
      <c r="D15" s="291">
        <f>'ตาราง 2'!E18</f>
        <v>733973.00410404615</v>
      </c>
      <c r="E15" s="291">
        <f>ปันส่วนเงินนอกงบประมาณ!N19</f>
        <v>6737.9679768786127</v>
      </c>
      <c r="F15" s="292">
        <f t="shared" si="0"/>
        <v>29331505.764971096</v>
      </c>
      <c r="G15" s="289"/>
      <c r="H15" s="282"/>
      <c r="I15" s="282"/>
      <c r="J15" s="282"/>
      <c r="K15" s="282"/>
    </row>
    <row r="16" spans="1:11" ht="21" customHeight="1">
      <c r="A16" s="290" t="s">
        <v>324</v>
      </c>
      <c r="B16" s="291">
        <f>'ปันส่วนเงินงบประมาณ 2'!K19</f>
        <v>867128.81526011566</v>
      </c>
      <c r="C16" s="291">
        <f>ปันส่วนเงินนอกงบประมาณ!L20</f>
        <v>2128454.6668208092</v>
      </c>
      <c r="D16" s="291">
        <f>'ตาราง 2'!E19</f>
        <v>66724.81855491329</v>
      </c>
      <c r="E16" s="291">
        <f>ปันส่วนเงินนอกงบประมาณ!N20</f>
        <v>612.54254335260111</v>
      </c>
      <c r="F16" s="292">
        <f t="shared" si="0"/>
        <v>3062920.8431791905</v>
      </c>
      <c r="G16" s="289"/>
      <c r="H16" s="282"/>
      <c r="I16" s="282"/>
      <c r="J16" s="282"/>
      <c r="K16" s="282"/>
    </row>
    <row r="17" spans="1:11" ht="21" customHeight="1">
      <c r="A17" s="290" t="s">
        <v>259</v>
      </c>
      <c r="B17" s="291">
        <f>'ปันส่วนเงินงบประมาณ 2'!K20</f>
        <v>1061468.1205202311</v>
      </c>
      <c r="C17" s="291">
        <f>ปันส่วนเงินนอกงบประมาณ!L21</f>
        <v>3922742.853641619</v>
      </c>
      <c r="D17" s="291">
        <f>'ตาราง 2'!E20</f>
        <v>133449.63710982658</v>
      </c>
      <c r="E17" s="291">
        <f>ปันส่วนเงินนอกงบประมาณ!N21</f>
        <v>1225.0850867052022</v>
      </c>
      <c r="F17" s="292">
        <f t="shared" si="0"/>
        <v>5118885.6963583818</v>
      </c>
      <c r="G17" s="289"/>
      <c r="H17" s="282"/>
      <c r="I17" s="282"/>
      <c r="J17" s="282"/>
      <c r="K17" s="282"/>
    </row>
    <row r="18" spans="1:11" ht="21" customHeight="1">
      <c r="A18" s="290" t="s">
        <v>262</v>
      </c>
      <c r="B18" s="291">
        <f>'ปันส่วนเงินงบประมาณ 2'!K21</f>
        <v>4706486.3189306362</v>
      </c>
      <c r="C18" s="291">
        <f>ปันส่วนเงินนอกงบประมาณ!L22</f>
        <v>9106784.5225144513</v>
      </c>
      <c r="D18" s="291">
        <f>'ตาราง 2'!E21</f>
        <v>366986.50205202308</v>
      </c>
      <c r="E18" s="291">
        <f>ปันส่วนเงินนอกงบประมาณ!N22</f>
        <v>3368.9839884393064</v>
      </c>
      <c r="F18" s="292">
        <f t="shared" si="0"/>
        <v>14183626.327485552</v>
      </c>
      <c r="G18" s="289"/>
      <c r="H18" s="282"/>
      <c r="I18" s="282"/>
      <c r="J18" s="282"/>
      <c r="K18" s="282"/>
    </row>
    <row r="19" spans="1:11" ht="21" customHeight="1">
      <c r="A19" s="293" t="s">
        <v>325</v>
      </c>
      <c r="B19" s="291">
        <f>'ปันส่วนเงินงบประมาณ 2'!K22</f>
        <v>11713440.071531793</v>
      </c>
      <c r="C19" s="291">
        <f>ปันส่วนเงินนอกงบประมาณ!L23</f>
        <v>23886824.410722539</v>
      </c>
      <c r="D19" s="291">
        <f>'ตาราง 2'!E22</f>
        <v>1034234.687601156</v>
      </c>
      <c r="E19" s="291">
        <f>ปันส่วนเงินนอกงบประมาณ!N23</f>
        <v>9494.409421965318</v>
      </c>
      <c r="F19" s="292">
        <f t="shared" si="0"/>
        <v>36643993.579277456</v>
      </c>
      <c r="G19" s="289"/>
      <c r="H19" s="282"/>
      <c r="I19" s="282"/>
      <c r="J19" s="282"/>
      <c r="K19" s="282"/>
    </row>
    <row r="20" spans="1:11" ht="21" customHeight="1">
      <c r="A20" s="293" t="s">
        <v>326</v>
      </c>
      <c r="B20" s="291">
        <f>'ปันส่วนเงินงบประมาณ 2'!K23</f>
        <v>16820492.333092488</v>
      </c>
      <c r="C20" s="291">
        <f>ปันส่วนเงินนอกงบประมาณ!L24</f>
        <v>34936937.851647399</v>
      </c>
      <c r="D20" s="291">
        <f>'ตาราง 2'!E23</f>
        <v>1434583.5989306357</v>
      </c>
      <c r="E20" s="291">
        <f>ปันส่วนเงินนอกงบประมาณ!N24</f>
        <v>13169.664682080926</v>
      </c>
      <c r="F20" s="292">
        <f t="shared" si="0"/>
        <v>53205183.448352605</v>
      </c>
      <c r="G20" s="289"/>
      <c r="H20" s="282"/>
      <c r="I20" s="282"/>
      <c r="J20" s="282"/>
      <c r="K20" s="282"/>
    </row>
    <row r="21" spans="1:11" ht="21" customHeight="1">
      <c r="A21" s="293" t="s">
        <v>327</v>
      </c>
      <c r="B21" s="291">
        <f>'ปันส่วนเงินงบประมาณ 2'!K24</f>
        <v>5545993.7831502873</v>
      </c>
      <c r="C21" s="291">
        <f>ปันส่วนเงินนอกงบประมาณ!L25</f>
        <v>5773666.5720520224</v>
      </c>
      <c r="D21" s="291">
        <f>'ตาราง 2'!E24</f>
        <v>166812.04638728322</v>
      </c>
      <c r="E21" s="291">
        <f>ปันส่วนเงินนอกงบประมาณ!N25</f>
        <v>1531.356358381503</v>
      </c>
      <c r="F21" s="292">
        <f t="shared" si="0"/>
        <v>11488003.757947974</v>
      </c>
      <c r="G21" s="289"/>
      <c r="H21" s="282"/>
      <c r="I21" s="282"/>
      <c r="J21" s="282"/>
      <c r="K21" s="282"/>
    </row>
    <row r="22" spans="1:11" ht="21" customHeight="1">
      <c r="A22" s="293" t="s">
        <v>328</v>
      </c>
      <c r="B22" s="291">
        <f>'ปันส่วนเงินงบประมาณ 2'!K25</f>
        <v>161278.66263005781</v>
      </c>
      <c r="C22" s="291">
        <f>ปันส่วนเงินนอกงบประมาณ!L26</f>
        <v>913864.69841040473</v>
      </c>
      <c r="D22" s="291">
        <f>'ตาราง 2'!E25</f>
        <v>33362.409277456645</v>
      </c>
      <c r="E22" s="291">
        <f>ปันส่วนเงินนอกงบประมาณ!N26</f>
        <v>306.27127167630056</v>
      </c>
      <c r="F22" s="292">
        <f t="shared" si="0"/>
        <v>1108812.0415895954</v>
      </c>
      <c r="G22" s="289"/>
      <c r="H22" s="282"/>
      <c r="I22" s="282"/>
      <c r="J22" s="282"/>
      <c r="K22" s="282"/>
    </row>
    <row r="23" spans="1:11" ht="21" customHeight="1">
      <c r="A23" s="293" t="s">
        <v>329</v>
      </c>
      <c r="B23" s="291">
        <f>'ปันส่วนเงินงบประมาณ 2'!K26</f>
        <v>6373096.3963005776</v>
      </c>
      <c r="C23" s="291">
        <f>ปันส่วนเงินนอกงบประมาณ!L27</f>
        <v>8203531.1641040463</v>
      </c>
      <c r="D23" s="291">
        <f>'ตาราง 2'!E26</f>
        <v>333624.09277456644</v>
      </c>
      <c r="E23" s="291">
        <f>ปันส่วนเงินนอกงบประมาณ!N27</f>
        <v>3062.712716763006</v>
      </c>
      <c r="F23" s="292">
        <f t="shared" si="0"/>
        <v>14913314.365895955</v>
      </c>
      <c r="G23" s="289"/>
      <c r="H23" s="282"/>
      <c r="I23" s="282"/>
      <c r="J23" s="282"/>
      <c r="K23" s="282"/>
    </row>
    <row r="24" spans="1:11" ht="21" customHeight="1">
      <c r="A24" s="293" t="s">
        <v>330</v>
      </c>
      <c r="B24" s="291">
        <f>'ปันส่วนเงินงบประมาณ 2'!K27</f>
        <v>7569296.4220809238</v>
      </c>
      <c r="C24" s="291">
        <f>ปันส่วนเงินนอกงบประมาณ!L28</f>
        <v>12502822.874566475</v>
      </c>
      <c r="D24" s="291">
        <f>'ตาราง 2'!E27</f>
        <v>533798.54843930632</v>
      </c>
      <c r="E24" s="291">
        <f>ปันส่วนเงินนอกงบประมาณ!N28</f>
        <v>4900.3403468208089</v>
      </c>
      <c r="F24" s="292">
        <f t="shared" si="0"/>
        <v>20610818.185433526</v>
      </c>
      <c r="G24" s="289"/>
      <c r="H24" s="282"/>
      <c r="I24" s="282"/>
      <c r="J24" s="282"/>
      <c r="K24" s="282"/>
    </row>
    <row r="25" spans="1:11" ht="21" customHeight="1">
      <c r="A25" s="293" t="s">
        <v>331</v>
      </c>
      <c r="B25" s="291">
        <f>'ปันส่วนเงินงบประมาณ 2'!K28</f>
        <v>3509040.4257803471</v>
      </c>
      <c r="C25" s="291">
        <f>ปันส่วนเงินนอกงบประมาณ!L29</f>
        <v>4404196.2904624287</v>
      </c>
      <c r="D25" s="291">
        <f>'ตาราง 2'!E28</f>
        <v>200174.45566473989</v>
      </c>
      <c r="E25" s="291">
        <f>ปันส่วนเงินนอกงบประมาณ!N29</f>
        <v>1837.6276300578036</v>
      </c>
      <c r="F25" s="292">
        <f t="shared" si="0"/>
        <v>8115248.799537573</v>
      </c>
      <c r="G25" s="289"/>
      <c r="H25" s="282"/>
      <c r="I25" s="282"/>
      <c r="J25" s="282"/>
      <c r="K25" s="282"/>
    </row>
    <row r="26" spans="1:11" ht="21" customHeight="1">
      <c r="A26" s="293" t="s">
        <v>278</v>
      </c>
      <c r="B26" s="291">
        <f>'ปันส่วนเงินงบประมาณ 2'!K29</f>
        <v>4246943.7584104044</v>
      </c>
      <c r="C26" s="291">
        <f>ปันส่วนเงินนอกงบประมาณ!L30</f>
        <v>5366761.8388728313</v>
      </c>
      <c r="D26" s="291">
        <f>'ตาราง 2'!E29</f>
        <v>233536.86494219652</v>
      </c>
      <c r="E26" s="291">
        <f>ปันส่วนเงินนอกงบประมาณ!N30</f>
        <v>2143.8989017341041</v>
      </c>
      <c r="F26" s="292">
        <f t="shared" si="0"/>
        <v>9849386.3611271679</v>
      </c>
      <c r="G26" s="289"/>
      <c r="H26" s="282"/>
      <c r="I26" s="282"/>
      <c r="J26" s="282"/>
      <c r="K26" s="282"/>
    </row>
    <row r="27" spans="1:11" ht="21" customHeight="1">
      <c r="A27" s="293" t="s">
        <v>332</v>
      </c>
      <c r="B27" s="291">
        <f>'ปันส่วนเงินงบประมาณ 2'!K30</f>
        <v>4816140.7910404634</v>
      </c>
      <c r="C27" s="291">
        <f>ปันส่วนเงินนอกงบประมาณ!L31</f>
        <v>6327920.7272832384</v>
      </c>
      <c r="D27" s="291">
        <f>'ตาราง 2'!E30</f>
        <v>266899.27421965316</v>
      </c>
      <c r="E27" s="291">
        <f>ปันส่วนเงินนอกงบประมาณ!N31</f>
        <v>2450.1701734104045</v>
      </c>
      <c r="F27" s="292">
        <f t="shared" si="0"/>
        <v>11413410.962716764</v>
      </c>
      <c r="G27" s="289"/>
      <c r="H27" s="282"/>
      <c r="I27" s="282"/>
      <c r="J27" s="282"/>
      <c r="K27" s="282"/>
    </row>
    <row r="28" spans="1:11" ht="21" customHeight="1">
      <c r="A28" s="293" t="s">
        <v>282</v>
      </c>
      <c r="B28" s="291">
        <f>'ปันส่วนเงินงบประมาณ 2'!K31</f>
        <v>345541.8152601156</v>
      </c>
      <c r="C28" s="291">
        <f>ปันส่วนเงินนอกงบประมาณ!L32</f>
        <v>2911448.4168208092</v>
      </c>
      <c r="D28" s="291">
        <f>'ตาราง 2'!E31</f>
        <v>66724.81855491329</v>
      </c>
      <c r="E28" s="291">
        <f>ปันส่วนเงินนอกงบประมาณ!N32</f>
        <v>612.54254335260111</v>
      </c>
      <c r="F28" s="292">
        <f t="shared" si="0"/>
        <v>3324327.5931791905</v>
      </c>
      <c r="G28" s="289"/>
      <c r="H28" s="282"/>
      <c r="I28" s="282"/>
      <c r="J28" s="282"/>
      <c r="K28" s="282"/>
    </row>
    <row r="29" spans="1:11" ht="21" customHeight="1">
      <c r="A29" s="294" t="s">
        <v>333</v>
      </c>
      <c r="B29" s="295">
        <f>'ปันส่วนเงินงบประมาณ 2'!K32</f>
        <v>5605127.2163005779</v>
      </c>
      <c r="C29" s="295">
        <f>ปันส่วนเงินนอกงบประมาณ!L33</f>
        <v>7445862.1641040463</v>
      </c>
      <c r="D29" s="295">
        <f>'ตาราง 2'!E32</f>
        <v>333624.09277456644</v>
      </c>
      <c r="E29" s="295">
        <f>ปันส่วนเงินนอกงบประมาณ!N33</f>
        <v>3062.712716763006</v>
      </c>
      <c r="F29" s="296">
        <f t="shared" si="0"/>
        <v>13387676.185895955</v>
      </c>
      <c r="G29" s="289"/>
      <c r="H29" s="282"/>
      <c r="I29" s="282"/>
      <c r="J29" s="282"/>
      <c r="K29" s="282"/>
    </row>
    <row r="30" spans="1:11" ht="21" customHeight="1">
      <c r="A30" s="895" t="s">
        <v>1546</v>
      </c>
      <c r="B30" s="934">
        <f>'ปันส่วนเงินงบประมาณ 2'!K33</f>
        <v>143278.66263005781</v>
      </c>
      <c r="C30" s="934">
        <f>ปันส่วนเงินนอกงบประมาณ!L34</f>
        <v>986943.93841040472</v>
      </c>
      <c r="D30" s="934">
        <f>'ตาราง 2'!E33</f>
        <v>33362.409277456645</v>
      </c>
      <c r="E30" s="934">
        <f>ปันส่วนเงินนอกงบประมาณ!N34</f>
        <v>306.27127167630056</v>
      </c>
      <c r="F30" s="935">
        <f t="shared" si="0"/>
        <v>1163891.2815895954</v>
      </c>
      <c r="G30" s="289"/>
      <c r="H30" s="282"/>
      <c r="I30" s="282"/>
      <c r="J30" s="282"/>
      <c r="K30" s="282"/>
    </row>
    <row r="31" spans="1:11" ht="21" customHeight="1">
      <c r="A31" s="297" t="s">
        <v>288</v>
      </c>
      <c r="B31" s="298"/>
      <c r="C31" s="298"/>
      <c r="D31" s="298"/>
      <c r="E31" s="298"/>
      <c r="F31" s="299"/>
      <c r="G31" s="289"/>
      <c r="H31" s="282"/>
      <c r="I31" s="282"/>
      <c r="J31" s="282"/>
      <c r="K31" s="282"/>
    </row>
    <row r="32" spans="1:11" ht="21" customHeight="1">
      <c r="A32" s="286" t="s">
        <v>334</v>
      </c>
      <c r="B32" s="287">
        <f>'ปันส่วนเงินงบประมาณ 2'!K35</f>
        <v>1370078.6626300577</v>
      </c>
      <c r="C32" s="287">
        <f>ปันส่วนเงินนอกงบประมาณ!L36</f>
        <v>1204035.8484104048</v>
      </c>
      <c r="D32" s="287">
        <f>'ตาราง 2'!E43</f>
        <v>33362.409277456645</v>
      </c>
      <c r="E32" s="287">
        <f>ปันส่วนเงินนอกงบประมาณ!N36</f>
        <v>306.27127167630056</v>
      </c>
      <c r="F32" s="288">
        <f t="shared" si="0"/>
        <v>2607783.1915895953</v>
      </c>
      <c r="G32" s="289"/>
      <c r="H32" s="282"/>
      <c r="I32" s="282"/>
      <c r="J32" s="282"/>
      <c r="K32" s="282"/>
    </row>
    <row r="33" spans="1:11" ht="21" customHeight="1">
      <c r="A33" s="290" t="s">
        <v>335</v>
      </c>
      <c r="B33" s="291">
        <f>'ปันส่วนเงินงบประมาณ 2'!K36</f>
        <v>916318.66263005789</v>
      </c>
      <c r="C33" s="291">
        <f>ปันส่วนเงินนอกงบประมาณ!L37</f>
        <v>951278.69841040473</v>
      </c>
      <c r="D33" s="291">
        <f>'ตาราง 2'!E44</f>
        <v>33362.409277456645</v>
      </c>
      <c r="E33" s="291">
        <f>ปันส่วนเงินนอกงบประมาณ!N37</f>
        <v>306.27127167630056</v>
      </c>
      <c r="F33" s="292">
        <f t="shared" si="0"/>
        <v>1901266.0415895956</v>
      </c>
      <c r="G33" s="289"/>
      <c r="H33" s="282"/>
      <c r="I33" s="282"/>
      <c r="J33" s="282"/>
      <c r="K33" s="282"/>
    </row>
    <row r="34" spans="1:11" ht="21" customHeight="1">
      <c r="A34" s="290" t="s">
        <v>336</v>
      </c>
      <c r="B34" s="291">
        <f>'ปันส่วนเงินงบประมาณ 2'!K37</f>
        <v>1929315.7157803471</v>
      </c>
      <c r="C34" s="291">
        <f>ปันส่วนเงินนอกงบประมาณ!L38</f>
        <v>4881964.2904624287</v>
      </c>
      <c r="D34" s="291">
        <f>'ตาราง 2'!E45</f>
        <v>200174.45566473989</v>
      </c>
      <c r="E34" s="291">
        <f>ปันส่วนเงินนอกงบประมาณ!N38</f>
        <v>1837.6276300578036</v>
      </c>
      <c r="F34" s="292">
        <f t="shared" si="0"/>
        <v>7013292.089537574</v>
      </c>
      <c r="G34" s="289"/>
      <c r="H34" s="282"/>
      <c r="I34" s="282"/>
      <c r="J34" s="282"/>
      <c r="K34" s="282"/>
    </row>
    <row r="35" spans="1:11" ht="21" customHeight="1">
      <c r="A35" s="290" t="s">
        <v>337</v>
      </c>
      <c r="B35" s="291">
        <f>'ปันส่วนเงินงบประมาณ 2'!K38</f>
        <v>871121.36789017357</v>
      </c>
      <c r="C35" s="291">
        <f>ปันส่วนเงินนอกงบประมาณ!L39</f>
        <v>2827933.6352312146</v>
      </c>
      <c r="D35" s="291">
        <f>'ตาราง 2'!E46</f>
        <v>100087.22783236994</v>
      </c>
      <c r="E35" s="291">
        <f>ปันส่วนเงินนอกงบประมาณ!N39</f>
        <v>918.81381502890179</v>
      </c>
      <c r="F35" s="292">
        <f t="shared" si="0"/>
        <v>3800061.044768787</v>
      </c>
      <c r="G35" s="289"/>
      <c r="H35" s="282"/>
      <c r="I35" s="282"/>
      <c r="J35" s="282"/>
      <c r="K35" s="282"/>
    </row>
    <row r="36" spans="1:11" ht="21" customHeight="1">
      <c r="A36" s="290" t="s">
        <v>1485</v>
      </c>
      <c r="B36" s="291">
        <f>'ปันส่วนเงินงบประมาณ 2'!K39</f>
        <v>1853844.4257803471</v>
      </c>
      <c r="C36" s="291">
        <f>ปันส่วนเงินนอกงบประมาณ!L40</f>
        <v>5101904.2904624287</v>
      </c>
      <c r="D36" s="291">
        <f>'ตาราง 2'!E47</f>
        <v>200174.45566473989</v>
      </c>
      <c r="E36" s="291">
        <f>ปันส่วนเงินนอกงบประมาณ!N40</f>
        <v>1837.6276300578036</v>
      </c>
      <c r="F36" s="292">
        <f t="shared" si="0"/>
        <v>7157760.799537573</v>
      </c>
      <c r="G36" s="289"/>
      <c r="H36" s="282"/>
      <c r="I36" s="282"/>
      <c r="J36" s="282"/>
      <c r="K36" s="282"/>
    </row>
    <row r="37" spans="1:11" ht="21" customHeight="1">
      <c r="A37" s="290" t="s">
        <v>1534</v>
      </c>
      <c r="B37" s="291">
        <f>'ปันส่วนเงินงบประมาณ 2'!K40</f>
        <v>2815459.8836705205</v>
      </c>
      <c r="C37" s="291">
        <f>ปันส่วนเงินนอกงบประมาณ!L41</f>
        <v>7502670.445693641</v>
      </c>
      <c r="D37" s="291">
        <f>'ตาราง 2'!E48</f>
        <v>300261.6834971098</v>
      </c>
      <c r="E37" s="291">
        <f>ปันส่วนเงินนอกงบประมาณ!N41</f>
        <v>2756.4414450867052</v>
      </c>
      <c r="F37" s="292">
        <f t="shared" si="0"/>
        <v>10621148.454306358</v>
      </c>
      <c r="G37" s="289"/>
      <c r="H37" s="282"/>
      <c r="I37" s="282"/>
      <c r="J37" s="282"/>
      <c r="K37" s="282"/>
    </row>
    <row r="38" spans="1:11" ht="21" customHeight="1">
      <c r="A38" s="290" t="s">
        <v>526</v>
      </c>
      <c r="B38" s="291">
        <f>'ปันส่วนเงินงบประมาณ 2'!K41</f>
        <v>2005225.578410405</v>
      </c>
      <c r="C38" s="291">
        <f>ปันส่วนเงินนอกงบประมาณ!L42</f>
        <v>5997709.0088728312</v>
      </c>
      <c r="D38" s="291">
        <f>'ตาราง 2'!E49</f>
        <v>233536.86494219652</v>
      </c>
      <c r="E38" s="291">
        <f>ปันส่วนเงินนอกงบประมาณ!N42</f>
        <v>2143.8989017341041</v>
      </c>
      <c r="F38" s="292">
        <f t="shared" si="0"/>
        <v>8238615.3511271672</v>
      </c>
      <c r="G38" s="289"/>
      <c r="H38" s="282"/>
      <c r="I38" s="282"/>
      <c r="J38" s="282"/>
      <c r="K38" s="282"/>
    </row>
    <row r="39" spans="1:11" ht="21" customHeight="1">
      <c r="A39" s="290" t="s">
        <v>500</v>
      </c>
      <c r="B39" s="291">
        <f>'ปันส่วนเงินงบประมาณ 2'!K42</f>
        <v>1023916.8978901736</v>
      </c>
      <c r="C39" s="291">
        <f>ปันส่วนเงินนอกงบประมาณ!L43</f>
        <v>2511030.1352312146</v>
      </c>
      <c r="D39" s="291">
        <f>'ตาราง 2'!E50</f>
        <v>100087.22783236994</v>
      </c>
      <c r="E39" s="291">
        <f>ปันส่วนเงินนอกงบประมาณ!N43</f>
        <v>918.81381502890179</v>
      </c>
      <c r="F39" s="292">
        <f t="shared" si="0"/>
        <v>3635953.0747687872</v>
      </c>
      <c r="G39" s="289"/>
      <c r="H39" s="282"/>
      <c r="I39" s="282"/>
      <c r="J39" s="282"/>
      <c r="K39" s="282"/>
    </row>
    <row r="40" spans="1:11" ht="21" customHeight="1">
      <c r="A40" s="95" t="s">
        <v>1537</v>
      </c>
      <c r="B40" s="291">
        <f>'ปันส่วนเงินงบประมาณ 2'!K43</f>
        <v>1592305.8184104047</v>
      </c>
      <c r="C40" s="291">
        <f>ปันส่วนเงินนอกงบประมาณ!L44</f>
        <v>6240442.9488728317</v>
      </c>
      <c r="D40" s="291">
        <f>'ตาราง 2'!E51</f>
        <v>233536.86494219652</v>
      </c>
      <c r="E40" s="291">
        <f>ปันส่วนเงินนอกงบประมาณ!N44</f>
        <v>2143.8989017341041</v>
      </c>
      <c r="F40" s="292">
        <f t="shared" si="0"/>
        <v>8068429.5311271679</v>
      </c>
      <c r="G40" s="289"/>
      <c r="H40" s="282"/>
      <c r="I40" s="282"/>
      <c r="J40" s="282"/>
      <c r="K40" s="282"/>
    </row>
    <row r="41" spans="1:11" ht="21" customHeight="1">
      <c r="A41" s="290" t="s">
        <v>498</v>
      </c>
      <c r="B41" s="291">
        <f>'ปันส่วนเงินงบประมาณ 2'!K44</f>
        <v>516919.31263005786</v>
      </c>
      <c r="C41" s="291">
        <f>ปันส่วนเงินนอกงบประมาณ!L45</f>
        <v>891764.69841040473</v>
      </c>
      <c r="D41" s="291">
        <f>'ตาราง 2'!E52</f>
        <v>33362.409277456645</v>
      </c>
      <c r="E41" s="291">
        <f>ปันส่วนเงินนอกงบประมาณ!N45</f>
        <v>306.27127167630056</v>
      </c>
      <c r="F41" s="292">
        <f t="shared" si="0"/>
        <v>1442352.6915895955</v>
      </c>
      <c r="G41" s="289"/>
      <c r="H41" s="282"/>
      <c r="I41" s="282"/>
      <c r="J41" s="282"/>
      <c r="K41" s="282"/>
    </row>
    <row r="42" spans="1:11" ht="21" customHeight="1">
      <c r="A42" s="290" t="s">
        <v>293</v>
      </c>
      <c r="B42" s="291">
        <f>'ปันส่วนเงินงบประมาณ 2'!K45</f>
        <v>497701.81526011566</v>
      </c>
      <c r="C42" s="291">
        <f>ปันส่วนเงินนอกงบประมาณ!L46</f>
        <v>1632442.5368208096</v>
      </c>
      <c r="D42" s="291">
        <f>'ตาราง 2'!E53</f>
        <v>66724.81855491329</v>
      </c>
      <c r="E42" s="291">
        <f>ปันส่วนเงินนอกงบประมาณ!N46</f>
        <v>612.54254335260111</v>
      </c>
      <c r="F42" s="292">
        <f t="shared" si="0"/>
        <v>2197481.7131791911</v>
      </c>
      <c r="G42" s="289"/>
      <c r="H42" s="282"/>
      <c r="I42" s="282"/>
      <c r="J42" s="282"/>
      <c r="K42" s="282"/>
    </row>
    <row r="43" spans="1:11" ht="21" customHeight="1">
      <c r="A43" s="290" t="s">
        <v>294</v>
      </c>
      <c r="B43" s="291">
        <f>'ปันส่วนเงินงบประมาณ 2'!K46</f>
        <v>769761.81526011566</v>
      </c>
      <c r="C43" s="291">
        <f>ปันส่วนเงินนอกงบประมาณ!L47</f>
        <v>1603116.4068208095</v>
      </c>
      <c r="D43" s="291">
        <f>'ตาราง 2'!E54</f>
        <v>66724.81855491329</v>
      </c>
      <c r="E43" s="291">
        <f>ปันส่วนเงินนอกงบประมาณ!N47</f>
        <v>612.54254335260111</v>
      </c>
      <c r="F43" s="292">
        <f t="shared" si="0"/>
        <v>2440215.5831791908</v>
      </c>
      <c r="G43" s="289"/>
      <c r="H43" s="282"/>
      <c r="I43" s="282"/>
      <c r="J43" s="282"/>
      <c r="K43" s="282"/>
    </row>
    <row r="44" spans="1:11" ht="21" customHeight="1">
      <c r="A44" s="290" t="s">
        <v>343</v>
      </c>
      <c r="B44" s="291">
        <f>'ปันส่วนเงินงบประมาณ 2'!K47</f>
        <v>531368.1205202312</v>
      </c>
      <c r="C44" s="291">
        <f>ปันส่วนเงินนอกงบประมาณ!L48</f>
        <v>3545676.0736416192</v>
      </c>
      <c r="D44" s="291">
        <f>'ตาราง 2'!E55</f>
        <v>133449.63710982658</v>
      </c>
      <c r="E44" s="291">
        <f>ปันส่วนเงินนอกงบประมาณ!N48</f>
        <v>1225.0850867052022</v>
      </c>
      <c r="F44" s="292">
        <f t="shared" si="0"/>
        <v>4211718.9163583824</v>
      </c>
      <c r="G44" s="289"/>
      <c r="H44" s="282"/>
      <c r="I44" s="282"/>
      <c r="J44" s="282"/>
      <c r="K44" s="282"/>
    </row>
    <row r="45" spans="1:11" ht="21" customHeight="1">
      <c r="A45" s="290" t="s">
        <v>344</v>
      </c>
      <c r="B45" s="291">
        <f>'ปันส่วนเงินงบประมาณ 2'!K48</f>
        <v>531368.1205202312</v>
      </c>
      <c r="C45" s="291">
        <f>ปันส่วนเงินนอกงบประมาณ!L49</f>
        <v>3736622.603641619</v>
      </c>
      <c r="D45" s="291">
        <f>'ตาราง 2'!E56</f>
        <v>133449.63710982658</v>
      </c>
      <c r="E45" s="291">
        <f>ปันส่วนเงินนอกงบประมาณ!N49</f>
        <v>1225.0850867052022</v>
      </c>
      <c r="F45" s="292">
        <f t="shared" si="0"/>
        <v>4402665.4463583818</v>
      </c>
      <c r="G45" s="289"/>
      <c r="H45" s="282"/>
      <c r="I45" s="282"/>
      <c r="J45" s="282"/>
      <c r="K45" s="282"/>
    </row>
    <row r="46" spans="1:11" ht="21" customHeight="1">
      <c r="A46" s="159" t="s">
        <v>1538</v>
      </c>
      <c r="B46" s="291">
        <f>'ปันส่วนเงินงบประมาณ 2'!K49</f>
        <v>914038.12052023131</v>
      </c>
      <c r="C46" s="291">
        <f>ปันส่วนเงินนอกงบประมาณ!L50</f>
        <v>3704457.8436416187</v>
      </c>
      <c r="D46" s="291">
        <f>'ตาราง 2'!E57</f>
        <v>133449.63710982658</v>
      </c>
      <c r="E46" s="291">
        <f>ปันส่วนเงินนอกงบประมาณ!N50</f>
        <v>1225.0850867052022</v>
      </c>
      <c r="F46" s="292">
        <f t="shared" si="0"/>
        <v>4753170.686358382</v>
      </c>
      <c r="G46" s="289"/>
      <c r="H46" s="282"/>
      <c r="I46" s="282"/>
      <c r="J46" s="282"/>
      <c r="K46" s="282"/>
    </row>
    <row r="47" spans="1:11" ht="21" customHeight="1">
      <c r="A47" s="290" t="s">
        <v>346</v>
      </c>
      <c r="B47" s="291">
        <f>'ปันส่วนเงินงบประมาณ 2'!K50</f>
        <v>2067047.0363005782</v>
      </c>
      <c r="C47" s="291">
        <f>ปันส่วนเงินนอกงบประมาณ!L51</f>
        <v>8421238.5441040471</v>
      </c>
      <c r="D47" s="291">
        <f>'ตาราง 2'!E58</f>
        <v>333624.09277456644</v>
      </c>
      <c r="E47" s="291">
        <f>ปันส่วนเงินนอกงบประมาณ!N51</f>
        <v>3062.712716763006</v>
      </c>
      <c r="F47" s="292">
        <f t="shared" si="0"/>
        <v>10824972.385895954</v>
      </c>
      <c r="G47" s="289"/>
      <c r="H47" s="282"/>
      <c r="I47" s="282"/>
      <c r="J47" s="282"/>
      <c r="K47" s="282"/>
    </row>
    <row r="48" spans="1:11" ht="21" customHeight="1">
      <c r="A48" s="290" t="s">
        <v>347</v>
      </c>
      <c r="B48" s="291">
        <f>'ปันส่วนเงินงบประมาณ 2'!K51</f>
        <v>908028.12052023131</v>
      </c>
      <c r="C48" s="291">
        <f>ปันส่วนเงินนอกงบประมาณ!L52</f>
        <v>3399225.9736416191</v>
      </c>
      <c r="D48" s="291">
        <f>'ตาราง 2'!E59</f>
        <v>133449.63710982658</v>
      </c>
      <c r="E48" s="291">
        <f>ปันส่วนเงินนอกงบประมาณ!N52</f>
        <v>1225.0850867052022</v>
      </c>
      <c r="F48" s="292">
        <f t="shared" si="0"/>
        <v>4441928.8163583819</v>
      </c>
      <c r="G48" s="289"/>
      <c r="H48" s="282"/>
      <c r="I48" s="282"/>
      <c r="J48" s="282"/>
      <c r="K48" s="282"/>
    </row>
    <row r="49" spans="1:11" ht="21" customHeight="1">
      <c r="A49" s="290" t="s">
        <v>1498</v>
      </c>
      <c r="B49" s="291">
        <f>'ปันส่วนเงินงบประมาณ 2'!K52</f>
        <v>674054.96789017355</v>
      </c>
      <c r="C49" s="291">
        <f>ปันส่วนเงินนอกงบประมาณ!L53</f>
        <v>2509327.6252312143</v>
      </c>
      <c r="D49" s="291">
        <f>'ตาราง 2'!E60</f>
        <v>100087.22783236994</v>
      </c>
      <c r="E49" s="291">
        <f>ปันส่วนเงินนอกงบประมาณ!N53</f>
        <v>918.81381502890179</v>
      </c>
      <c r="F49" s="292">
        <f t="shared" si="0"/>
        <v>3284388.6347687868</v>
      </c>
      <c r="G49" s="289"/>
      <c r="H49" s="282"/>
      <c r="I49" s="282"/>
      <c r="J49" s="282"/>
      <c r="K49" s="282"/>
    </row>
    <row r="50" spans="1:11" ht="21" customHeight="1">
      <c r="A50" s="290" t="s">
        <v>1535</v>
      </c>
      <c r="B50" s="291">
        <f>'ปันส่วนเงินงบประมาณ 2'!K53</f>
        <v>1177684.9678901734</v>
      </c>
      <c r="C50" s="291">
        <f>ปันส่วนเงินนอกงบประมาณ!L54</f>
        <v>2289021.1252312143</v>
      </c>
      <c r="D50" s="291">
        <f>'ตาราง 2'!E61</f>
        <v>100087.22783236994</v>
      </c>
      <c r="E50" s="291">
        <f>ปันส่วนเงินนอกงบประมาณ!N54</f>
        <v>918.81381502890179</v>
      </c>
      <c r="F50" s="292">
        <f t="shared" si="0"/>
        <v>3567712.1347687868</v>
      </c>
      <c r="G50" s="289"/>
      <c r="H50" s="282"/>
      <c r="I50" s="282"/>
      <c r="J50" s="282"/>
      <c r="K50" s="282"/>
    </row>
    <row r="51" spans="1:11" ht="21" customHeight="1">
      <c r="A51" s="290" t="s">
        <v>1505</v>
      </c>
      <c r="B51" s="291">
        <f>'ปันส่วนเงินงบประมาณ 2'!K54</f>
        <v>1944326.4257803471</v>
      </c>
      <c r="C51" s="291">
        <f>ปันส่วนเงินนอกงบประมาณ!L55</f>
        <v>6012451.5004624287</v>
      </c>
      <c r="D51" s="291">
        <f>'ตาราง 2'!E62</f>
        <v>200174.45566473989</v>
      </c>
      <c r="E51" s="291">
        <f>ปันส่วนเงินนอกงบประมาณ!N55</f>
        <v>1837.6276300578036</v>
      </c>
      <c r="F51" s="292">
        <f t="shared" si="0"/>
        <v>8158790.0095375739</v>
      </c>
      <c r="G51" s="289"/>
      <c r="H51" s="282"/>
      <c r="I51" s="282"/>
      <c r="J51" s="282"/>
      <c r="K51" s="282"/>
    </row>
    <row r="52" spans="1:11" ht="21" customHeight="1">
      <c r="A52" s="290" t="s">
        <v>1500</v>
      </c>
      <c r="B52" s="291">
        <f>'ปันส่วนเงินงบประมาณ 2'!K55</f>
        <v>1707035.8705202311</v>
      </c>
      <c r="C52" s="291">
        <f>ปันส่วนเงินนอกงบประมาณ!L56</f>
        <v>2886456.8436416187</v>
      </c>
      <c r="D52" s="291">
        <f>'ตาราง 2'!E63</f>
        <v>133449.63710982658</v>
      </c>
      <c r="E52" s="291">
        <f>ปันส่วนเงินนอกงบประมาณ!N56</f>
        <v>1225.0850867052022</v>
      </c>
      <c r="F52" s="292">
        <f t="shared" si="0"/>
        <v>4728167.4363583811</v>
      </c>
      <c r="G52" s="289"/>
      <c r="H52" s="282"/>
      <c r="I52" s="282"/>
      <c r="J52" s="282"/>
      <c r="K52" s="282"/>
    </row>
    <row r="53" spans="1:11" ht="21" customHeight="1">
      <c r="A53" s="300" t="s">
        <v>1501</v>
      </c>
      <c r="B53" s="301">
        <f>'ปันส่วนเงินงบประมาณ 2'!K56</f>
        <v>272641.82526011561</v>
      </c>
      <c r="C53" s="301">
        <f>ปันส่วนเงินนอกงบประมาณ!L57</f>
        <v>1728913.5868208094</v>
      </c>
      <c r="D53" s="301">
        <f>'ตาราง 2'!E64</f>
        <v>66724.81855491329</v>
      </c>
      <c r="E53" s="301">
        <f>ปันส่วนเงินนอกงบประมาณ!N57</f>
        <v>612.54254335260111</v>
      </c>
      <c r="F53" s="302">
        <f t="shared" si="0"/>
        <v>2068892.7731791909</v>
      </c>
      <c r="G53" s="243"/>
      <c r="H53" s="282"/>
      <c r="I53" s="282"/>
      <c r="J53" s="282"/>
      <c r="K53" s="282"/>
    </row>
    <row r="54" spans="1:11" ht="21" customHeight="1" thickBot="1">
      <c r="A54" s="303" t="s">
        <v>361</v>
      </c>
      <c r="B54" s="304">
        <f>SUM(B3:B53)</f>
        <v>151778459.31999999</v>
      </c>
      <c r="C54" s="304">
        <f>SUM(C3:C53)</f>
        <v>296774317.84999996</v>
      </c>
      <c r="D54" s="304">
        <f>SUM(D3:D53)</f>
        <v>11543393.609999998</v>
      </c>
      <c r="E54" s="304">
        <f>SUM(E3:E53)</f>
        <v>105969.86000000003</v>
      </c>
      <c r="F54" s="304">
        <f>SUM(F3:F53)</f>
        <v>460202140.63999999</v>
      </c>
      <c r="H54" s="274"/>
      <c r="I54" s="274"/>
      <c r="J54" s="274"/>
      <c r="K54" s="274"/>
    </row>
    <row r="55" spans="1:11" ht="21" customHeight="1" thickTop="1">
      <c r="B55" s="274"/>
      <c r="C55" s="274"/>
      <c r="D55" s="274"/>
      <c r="E55" s="274"/>
      <c r="H55" s="274"/>
      <c r="I55" s="274"/>
      <c r="J55" s="274"/>
      <c r="K55" s="274"/>
    </row>
    <row r="56" spans="1:11" ht="21" customHeight="1">
      <c r="B56" s="274"/>
      <c r="C56" s="274"/>
      <c r="D56" s="274"/>
      <c r="E56" s="274">
        <f>D54+E54</f>
        <v>11649363.469999997</v>
      </c>
      <c r="F56" s="274"/>
      <c r="H56" s="274"/>
      <c r="I56" s="274"/>
      <c r="J56" s="274"/>
      <c r="K56" s="274"/>
    </row>
    <row r="57" spans="1:11" ht="21" customHeight="1">
      <c r="B57" s="305"/>
      <c r="C57" s="305"/>
      <c r="D57" s="305"/>
      <c r="E57" s="305"/>
      <c r="F57" s="305"/>
      <c r="H57" s="274"/>
      <c r="I57" s="274"/>
      <c r="J57" s="274"/>
      <c r="K57" s="274"/>
    </row>
    <row r="58" spans="1:11" ht="21" customHeight="1">
      <c r="B58" s="305"/>
      <c r="C58" s="305"/>
      <c r="D58" s="305"/>
      <c r="E58" s="305"/>
      <c r="H58" s="274"/>
      <c r="I58" s="274"/>
      <c r="J58" s="274"/>
      <c r="K58" s="274"/>
    </row>
    <row r="59" spans="1:11" ht="21" customHeight="1">
      <c r="A59" s="273"/>
      <c r="B59" s="273"/>
      <c r="C59" s="273"/>
      <c r="D59" s="273"/>
      <c r="E59" s="273"/>
    </row>
    <row r="60" spans="1:11" ht="21" customHeight="1">
      <c r="B60" s="273"/>
      <c r="C60" s="273"/>
    </row>
    <row r="61" spans="1:11" ht="21" customHeight="1">
      <c r="B61" s="273"/>
      <c r="C61" s="282"/>
    </row>
    <row r="62" spans="1:11" ht="21" customHeight="1">
      <c r="C62" s="282"/>
      <c r="D62" s="282"/>
      <c r="E62" s="282"/>
      <c r="F62" s="282"/>
    </row>
    <row r="63" spans="1:11" ht="21" customHeight="1">
      <c r="C63" s="282"/>
      <c r="D63" s="282"/>
      <c r="E63" s="282"/>
      <c r="F63" s="282"/>
    </row>
    <row r="64" spans="1:11" ht="21" customHeight="1">
      <c r="B64" s="240"/>
      <c r="C64" s="273"/>
      <c r="D64" s="273"/>
      <c r="E64" s="273"/>
      <c r="F64" s="240"/>
    </row>
    <row r="66" spans="2:2" ht="21" customHeight="1">
      <c r="B66" s="240"/>
    </row>
  </sheetData>
  <pageMargins left="0.47244094488188981" right="0.31496062992125984" top="0.51" bottom="0.47244094488188981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92"/>
  <sheetViews>
    <sheetView topLeftCell="A172" workbookViewId="0">
      <selection activeCell="E176" sqref="E176"/>
    </sheetView>
  </sheetViews>
  <sheetFormatPr defaultRowHeight="24"/>
  <cols>
    <col min="1" max="1" width="71.85546875" style="239" customWidth="1"/>
    <col min="2" max="2" width="8.28515625" style="239" customWidth="1"/>
    <col min="3" max="3" width="19" style="239" bestFit="1" customWidth="1"/>
    <col min="4" max="4" width="20.42578125" style="239" bestFit="1" customWidth="1"/>
    <col min="5" max="5" width="23.5703125" style="239" customWidth="1"/>
    <col min="6" max="6" width="24.28515625" style="239" customWidth="1"/>
    <col min="7" max="7" width="23.5703125" style="239" customWidth="1"/>
    <col min="8" max="16384" width="9.140625" style="239"/>
  </cols>
  <sheetData>
    <row r="1" spans="1:7">
      <c r="A1" s="264" t="s">
        <v>363</v>
      </c>
    </row>
    <row r="2" spans="1:7" ht="28.5" customHeight="1">
      <c r="A2" s="306" t="s">
        <v>227</v>
      </c>
      <c r="B2" s="246" t="s">
        <v>364</v>
      </c>
      <c r="C2" s="246" t="s">
        <v>3</v>
      </c>
      <c r="D2" s="246" t="s">
        <v>2</v>
      </c>
      <c r="E2" s="246" t="s">
        <v>0</v>
      </c>
      <c r="F2" s="246" t="s">
        <v>303</v>
      </c>
      <c r="G2" s="307" t="s">
        <v>1</v>
      </c>
    </row>
    <row r="3" spans="1:7" ht="22.5" customHeight="1">
      <c r="A3" s="308" t="s">
        <v>226</v>
      </c>
      <c r="B3" s="309"/>
      <c r="C3" s="309"/>
      <c r="D3" s="309"/>
      <c r="E3" s="309"/>
      <c r="F3" s="309"/>
      <c r="G3" s="308"/>
    </row>
    <row r="4" spans="1:7" ht="22.5" customHeight="1">
      <c r="A4" s="258" t="s">
        <v>312</v>
      </c>
      <c r="B4" s="256"/>
      <c r="C4" s="256"/>
      <c r="D4" s="256"/>
      <c r="E4" s="256"/>
      <c r="F4" s="256"/>
      <c r="G4" s="310"/>
    </row>
    <row r="5" spans="1:7" ht="22.5" customHeight="1">
      <c r="A5" s="258" t="s">
        <v>354</v>
      </c>
      <c r="B5" s="256">
        <v>100</v>
      </c>
      <c r="C5" s="311">
        <f>'3.1'!B3*'3.2'!B5/100</f>
        <v>1489738.6626300577</v>
      </c>
      <c r="D5" s="311">
        <f>'3.1'!C3*'3.2'!B5/100</f>
        <v>1034347.6884104047</v>
      </c>
      <c r="E5" s="311">
        <f>'3.1'!D3*'3.2'!B5/100</f>
        <v>33362.409277456645</v>
      </c>
      <c r="F5" s="311">
        <f>'3.1'!E3*'3.2'!B5/100</f>
        <v>306.27127167630056</v>
      </c>
      <c r="G5" s="312">
        <f>SUM(C5:F5)</f>
        <v>2557755.0315895956</v>
      </c>
    </row>
    <row r="6" spans="1:7" s="264" customFormat="1" ht="22.5" customHeight="1" thickBot="1">
      <c r="A6" s="313"/>
      <c r="B6" s="314"/>
      <c r="C6" s="315">
        <f>SUM(C5)</f>
        <v>1489738.6626300577</v>
      </c>
      <c r="D6" s="315">
        <f>SUM(D5)</f>
        <v>1034347.6884104047</v>
      </c>
      <c r="E6" s="315">
        <f>SUM(E5)</f>
        <v>33362.409277456645</v>
      </c>
      <c r="F6" s="315">
        <f>SUM(F5)</f>
        <v>306.27127167630056</v>
      </c>
      <c r="G6" s="315">
        <f>SUM(G5)</f>
        <v>2557755.0315895956</v>
      </c>
    </row>
    <row r="7" spans="1:7" ht="24.75" thickTop="1">
      <c r="A7" s="316" t="s">
        <v>313</v>
      </c>
      <c r="B7" s="317"/>
      <c r="C7" s="317"/>
      <c r="D7" s="317"/>
      <c r="E7" s="317"/>
      <c r="F7" s="317"/>
      <c r="G7" s="318"/>
    </row>
    <row r="8" spans="1:7">
      <c r="A8" s="319" t="s">
        <v>365</v>
      </c>
      <c r="B8" s="256">
        <v>100</v>
      </c>
      <c r="C8" s="311">
        <f>'3.1'!B4*'3.2'!B8/100</f>
        <v>2093604.9678901734</v>
      </c>
      <c r="D8" s="311">
        <f>'3.1'!C4*'3.2'!B8/100</f>
        <v>3019430.3452312145</v>
      </c>
      <c r="E8" s="311">
        <f>'3.1'!D4*'3.2'!B8/100</f>
        <v>100087.22783236993</v>
      </c>
      <c r="F8" s="311">
        <f>'3.1'!E4*'3.2'!B8/100</f>
        <v>918.81381502890179</v>
      </c>
      <c r="G8" s="312">
        <f>SUM(C8:F8)</f>
        <v>5214041.3547687866</v>
      </c>
    </row>
    <row r="9" spans="1:7" s="264" customFormat="1" ht="24.75" thickBot="1">
      <c r="A9" s="320"/>
      <c r="B9" s="314"/>
      <c r="C9" s="315">
        <f>SUM(C8)</f>
        <v>2093604.9678901734</v>
      </c>
      <c r="D9" s="315">
        <f>SUM(D8)</f>
        <v>3019430.3452312145</v>
      </c>
      <c r="E9" s="315">
        <f>SUM(E8)</f>
        <v>100087.22783236993</v>
      </c>
      <c r="F9" s="315">
        <f>SUM(F8)</f>
        <v>918.81381502890179</v>
      </c>
      <c r="G9" s="315">
        <f>SUM(G8)</f>
        <v>5214041.3547687866</v>
      </c>
    </row>
    <row r="10" spans="1:7" ht="24.75" thickTop="1">
      <c r="A10" s="316" t="s">
        <v>314</v>
      </c>
      <c r="B10" s="317"/>
      <c r="C10" s="317"/>
      <c r="D10" s="317"/>
      <c r="E10" s="317"/>
      <c r="F10" s="317"/>
      <c r="G10" s="318"/>
    </row>
    <row r="11" spans="1:7">
      <c r="A11" s="258" t="s">
        <v>366</v>
      </c>
      <c r="B11" s="256">
        <v>100</v>
      </c>
      <c r="C11" s="311">
        <f>'3.1'!B5*'3.2'!B11/100</f>
        <v>1542754.3426300576</v>
      </c>
      <c r="D11" s="311">
        <f>'3.1'!C5*'3.2'!B11/100</f>
        <v>997990.2784104048</v>
      </c>
      <c r="E11" s="311">
        <f>'3.1'!D5*'3.2'!B11/100</f>
        <v>33362.409277456645</v>
      </c>
      <c r="F11" s="311">
        <f>'3.1'!E5*'3.2'!B11/100</f>
        <v>306.27127167630056</v>
      </c>
      <c r="G11" s="312">
        <f>SUM(C11:F11)</f>
        <v>2574413.3015895956</v>
      </c>
    </row>
    <row r="12" spans="1:7" s="264" customFormat="1" ht="24.75" thickBot="1">
      <c r="A12" s="313"/>
      <c r="B12" s="314"/>
      <c r="C12" s="315">
        <f>SUM(C11)</f>
        <v>1542754.3426300576</v>
      </c>
      <c r="D12" s="315">
        <f>SUM(D11)</f>
        <v>997990.2784104048</v>
      </c>
      <c r="E12" s="315">
        <f>SUM(E11)</f>
        <v>33362.409277456645</v>
      </c>
      <c r="F12" s="315">
        <f>SUM(F11)</f>
        <v>306.27127167630056</v>
      </c>
      <c r="G12" s="315">
        <f>SUM(G11)</f>
        <v>2574413.3015895956</v>
      </c>
    </row>
    <row r="13" spans="1:7" ht="24.75" thickTop="1">
      <c r="A13" s="316" t="s">
        <v>367</v>
      </c>
      <c r="B13" s="317"/>
      <c r="C13" s="317"/>
      <c r="D13" s="317"/>
      <c r="E13" s="317"/>
      <c r="F13" s="317"/>
      <c r="G13" s="318"/>
    </row>
    <row r="14" spans="1:7">
      <c r="A14" s="319" t="s">
        <v>368</v>
      </c>
      <c r="B14" s="256">
        <v>94</v>
      </c>
      <c r="C14" s="311">
        <f>'3.1'!B6*'3.2'!B14/100</f>
        <v>3836009.5967612718</v>
      </c>
      <c r="D14" s="311">
        <f>'3.1'!C6*'3.2'!B14/100</f>
        <v>4869075.940728901</v>
      </c>
      <c r="E14" s="311">
        <f>'3.1'!D6*'3.2'!B14/100</f>
        <v>156803.32360404622</v>
      </c>
      <c r="F14" s="311">
        <f>'3.1'!E6*'3.2'!B14/100</f>
        <v>1439.474976878613</v>
      </c>
      <c r="G14" s="312">
        <f>SUM(C14:F14)</f>
        <v>8863328.3360710964</v>
      </c>
    </row>
    <row r="15" spans="1:7">
      <c r="A15" s="319" t="s">
        <v>369</v>
      </c>
      <c r="B15" s="256">
        <v>6</v>
      </c>
      <c r="C15" s="311">
        <f>'3.1'!B6*'3.2'!B15/100</f>
        <v>244851.67638901738</v>
      </c>
      <c r="D15" s="311">
        <f>'3.1'!C6*'3.2'!B15/100</f>
        <v>310792.08132312133</v>
      </c>
      <c r="E15" s="311">
        <f>'3.1'!D6*'3.2'!B15/100</f>
        <v>10008.722783236992</v>
      </c>
      <c r="F15" s="311">
        <f>'3.1'!E6*'3.2'!B15/100</f>
        <v>91.881381502890179</v>
      </c>
      <c r="G15" s="312">
        <f>SUM(C15:F15)</f>
        <v>565744.36187687854</v>
      </c>
    </row>
    <row r="16" spans="1:7" s="264" customFormat="1" ht="24.75" thickBot="1">
      <c r="A16" s="313"/>
      <c r="B16" s="314"/>
      <c r="C16" s="315">
        <f>SUM(C14:C15)</f>
        <v>4080861.2731502894</v>
      </c>
      <c r="D16" s="315">
        <f>SUM(D14:D15)</f>
        <v>5179868.0220520226</v>
      </c>
      <c r="E16" s="315">
        <f>SUM(E14:E15)</f>
        <v>166812.04638728322</v>
      </c>
      <c r="F16" s="315">
        <f>SUM(F14:F15)</f>
        <v>1531.3563583815032</v>
      </c>
      <c r="G16" s="315">
        <f>SUM(G14:G15)</f>
        <v>9429072.6979479752</v>
      </c>
    </row>
    <row r="17" spans="1:7" ht="24.75" thickTop="1">
      <c r="A17" s="316" t="s">
        <v>316</v>
      </c>
      <c r="B17" s="317"/>
      <c r="C17" s="317"/>
      <c r="D17" s="317"/>
      <c r="E17" s="317"/>
      <c r="F17" s="317"/>
      <c r="G17" s="318"/>
    </row>
    <row r="18" spans="1:7">
      <c r="A18" s="319" t="s">
        <v>370</v>
      </c>
      <c r="B18" s="256">
        <v>33</v>
      </c>
      <c r="C18" s="311">
        <f>'3.1'!B7*'3.2'!B18/100</f>
        <v>1145326.0955037572</v>
      </c>
      <c r="D18" s="311">
        <f>'3.1'!C7*'3.2'!B18/100</f>
        <v>1057748.0546263007</v>
      </c>
      <c r="E18" s="311">
        <f>'3.1'!D7*'3.2'!B18/100</f>
        <v>33028.785184682085</v>
      </c>
      <c r="F18" s="311">
        <f>'3.1'!E7*'3.2'!B18/100</f>
        <v>303.20855895953758</v>
      </c>
      <c r="G18" s="312">
        <f>SUM(C18:F18)</f>
        <v>2236406.143873699</v>
      </c>
    </row>
    <row r="19" spans="1:7">
      <c r="A19" s="319" t="s">
        <v>371</v>
      </c>
      <c r="B19" s="256">
        <v>67</v>
      </c>
      <c r="C19" s="311">
        <f>'3.1'!B7*'3.2'!B19/100</f>
        <v>2325359.0423864159</v>
      </c>
      <c r="D19" s="311">
        <f>'3.1'!C7*'3.2'!B19/100</f>
        <v>2147549.0806049136</v>
      </c>
      <c r="E19" s="311">
        <f>'3.1'!D7*'3.2'!B19/100</f>
        <v>67058.442647687858</v>
      </c>
      <c r="F19" s="311">
        <f>'3.1'!E7*'3.2'!B19/100</f>
        <v>615.60525606936415</v>
      </c>
      <c r="G19" s="312">
        <f>SUM(C19:F19)</f>
        <v>4540582.1708950866</v>
      </c>
    </row>
    <row r="20" spans="1:7" s="264" customFormat="1" ht="24.75" thickBot="1">
      <c r="A20" s="313"/>
      <c r="B20" s="314"/>
      <c r="C20" s="315">
        <f>SUM(C18:C19)</f>
        <v>3470685.1378901731</v>
      </c>
      <c r="D20" s="315">
        <f>SUM(D18:D19)</f>
        <v>3205297.1352312146</v>
      </c>
      <c r="E20" s="315">
        <f>SUM(E18:E19)</f>
        <v>100087.22783236994</v>
      </c>
      <c r="F20" s="315">
        <f>SUM(F18:F19)</f>
        <v>918.81381502890167</v>
      </c>
      <c r="G20" s="315">
        <f>SUM(G18:G19)</f>
        <v>6776988.3147687856</v>
      </c>
    </row>
    <row r="21" spans="1:7" ht="24.75" thickTop="1">
      <c r="A21" s="316" t="s">
        <v>317</v>
      </c>
      <c r="B21" s="317"/>
      <c r="C21" s="317"/>
      <c r="D21" s="317"/>
      <c r="E21" s="317"/>
      <c r="F21" s="317"/>
      <c r="G21" s="318"/>
    </row>
    <row r="22" spans="1:7">
      <c r="A22" s="321" t="s">
        <v>372</v>
      </c>
      <c r="B22" s="256">
        <v>100</v>
      </c>
      <c r="C22" s="311">
        <f>'3.1'!B8*'3.2'!B22/100</f>
        <v>0</v>
      </c>
      <c r="D22" s="311">
        <f>'3.1'!C8*'3.2'!B22/100</f>
        <v>0</v>
      </c>
      <c r="E22" s="311">
        <f>'3.1'!D8*'3.2'!B22/100</f>
        <v>0</v>
      </c>
      <c r="F22" s="311"/>
      <c r="G22" s="312">
        <f>SUM(C22:F22)</f>
        <v>0</v>
      </c>
    </row>
    <row r="23" spans="1:7" s="264" customFormat="1" ht="24.75" thickBot="1">
      <c r="A23" s="322"/>
      <c r="B23" s="314"/>
      <c r="C23" s="315">
        <f>SUM(C22)</f>
        <v>0</v>
      </c>
      <c r="D23" s="315">
        <f>SUM(D22)</f>
        <v>0</v>
      </c>
      <c r="E23" s="315">
        <f>SUM(E22)</f>
        <v>0</v>
      </c>
      <c r="F23" s="315">
        <f>SUM(F22)</f>
        <v>0</v>
      </c>
      <c r="G23" s="315">
        <f>SUM(G22)</f>
        <v>0</v>
      </c>
    </row>
    <row r="24" spans="1:7" ht="24.75" thickTop="1">
      <c r="A24" s="316" t="s">
        <v>318</v>
      </c>
      <c r="B24" s="317"/>
      <c r="C24" s="317"/>
      <c r="D24" s="317"/>
      <c r="E24" s="317"/>
      <c r="F24" s="317"/>
      <c r="G24" s="318"/>
    </row>
    <row r="25" spans="1:7">
      <c r="A25" s="319" t="s">
        <v>245</v>
      </c>
      <c r="B25" s="256">
        <v>100</v>
      </c>
      <c r="C25" s="311">
        <f>'3.1'!B9*'3.2'!B25/100</f>
        <v>12245372.165751446</v>
      </c>
      <c r="D25" s="311">
        <f>'3.1'!C9*'3.2'!B25/100</f>
        <v>22788138.440260116</v>
      </c>
      <c r="E25" s="311">
        <f>'3.1'!D9*'3.2'!B25/100</f>
        <v>834060.23193641612</v>
      </c>
      <c r="F25" s="311">
        <f>'3.1'!E9*'3.2'!B25/100</f>
        <v>7656.7817919075142</v>
      </c>
      <c r="G25" s="312">
        <f>SUM(C25:F25)</f>
        <v>35875227.61973989</v>
      </c>
    </row>
    <row r="26" spans="1:7" s="264" customFormat="1" ht="24.75" thickBot="1">
      <c r="A26" s="322"/>
      <c r="B26" s="314"/>
      <c r="C26" s="315">
        <f>SUM(C25:C25)</f>
        <v>12245372.165751446</v>
      </c>
      <c r="D26" s="315">
        <f>SUM(D25:D25)</f>
        <v>22788138.440260116</v>
      </c>
      <c r="E26" s="315">
        <f>SUM(E25:E25)</f>
        <v>834060.23193641612</v>
      </c>
      <c r="F26" s="315">
        <f>SUM(F25:F25)</f>
        <v>7656.7817919075142</v>
      </c>
      <c r="G26" s="315">
        <f>SUM(G25:G25)</f>
        <v>35875227.61973989</v>
      </c>
    </row>
    <row r="27" spans="1:7" s="264" customFormat="1" ht="24.75" thickTop="1">
      <c r="A27" s="323"/>
      <c r="B27" s="324"/>
      <c r="C27" s="325"/>
      <c r="D27" s="325"/>
      <c r="E27" s="325"/>
      <c r="F27" s="325"/>
      <c r="G27" s="325"/>
    </row>
    <row r="28" spans="1:7" s="264" customFormat="1">
      <c r="A28" s="326"/>
      <c r="B28" s="238"/>
      <c r="C28" s="327"/>
      <c r="D28" s="327"/>
      <c r="E28" s="327"/>
      <c r="F28" s="327"/>
      <c r="G28" s="327"/>
    </row>
    <row r="29" spans="1:7" s="264" customFormat="1">
      <c r="A29" s="326"/>
      <c r="B29" s="238"/>
      <c r="C29" s="327"/>
      <c r="D29" s="327"/>
      <c r="E29" s="327"/>
      <c r="F29" s="327"/>
      <c r="G29" s="327"/>
    </row>
    <row r="30" spans="1:7" s="264" customFormat="1">
      <c r="A30" s="326"/>
      <c r="B30" s="238"/>
      <c r="C30" s="327"/>
      <c r="D30" s="327"/>
      <c r="E30" s="327"/>
      <c r="F30" s="327"/>
      <c r="G30" s="327"/>
    </row>
    <row r="31" spans="1:7" s="264" customFormat="1">
      <c r="A31" s="326"/>
      <c r="B31" s="238"/>
      <c r="C31" s="327"/>
      <c r="D31" s="327"/>
      <c r="E31" s="327"/>
      <c r="F31" s="327"/>
      <c r="G31" s="327"/>
    </row>
    <row r="32" spans="1:7">
      <c r="A32" s="328" t="s">
        <v>319</v>
      </c>
      <c r="B32" s="329"/>
      <c r="C32" s="329"/>
      <c r="D32" s="329"/>
      <c r="E32" s="329"/>
      <c r="F32" s="329"/>
      <c r="G32" s="330"/>
    </row>
    <row r="33" spans="1:7">
      <c r="A33" s="319" t="s">
        <v>373</v>
      </c>
      <c r="B33" s="256">
        <v>79</v>
      </c>
      <c r="C33" s="311">
        <f>'3.1'!B10*'3.2'!B33/100</f>
        <v>4887510.2964106938</v>
      </c>
      <c r="D33" s="311">
        <f>'3.1'!C10*'3.2'!B33/100</f>
        <v>9715960.8966748565</v>
      </c>
      <c r="E33" s="311">
        <f>'3.1'!D10*'3.2'!B33/100</f>
        <v>342631.94327947975</v>
      </c>
      <c r="F33" s="311">
        <f>'3.1'!E10*'3.2'!B33/100</f>
        <v>3145.4059601156068</v>
      </c>
      <c r="G33" s="312">
        <f>SUM(C33:F33)</f>
        <v>14949248.542325148</v>
      </c>
    </row>
    <row r="34" spans="1:7">
      <c r="A34" s="319" t="s">
        <v>374</v>
      </c>
      <c r="B34" s="256">
        <v>1</v>
      </c>
      <c r="C34" s="311">
        <f>'3.1'!B10*'3.2'!B34/100</f>
        <v>61867.218941907522</v>
      </c>
      <c r="D34" s="311">
        <f>'3.1'!C10*'3.2'!B34/100</f>
        <v>122986.84679335261</v>
      </c>
      <c r="E34" s="311">
        <f>'3.1'!D10*'3.2'!B34/100</f>
        <v>4337.1132060693644</v>
      </c>
      <c r="F34" s="311">
        <f>'3.1'!E10*'3.2'!B34/100</f>
        <v>39.815265317919078</v>
      </c>
      <c r="G34" s="312">
        <f>SUM(C34:F34)</f>
        <v>189230.99420664742</v>
      </c>
    </row>
    <row r="35" spans="1:7">
      <c r="A35" s="319" t="s">
        <v>375</v>
      </c>
      <c r="B35" s="256">
        <v>14</v>
      </c>
      <c r="C35" s="311">
        <f>'3.1'!B10*'3.2'!B35/100</f>
        <v>866141.06518670532</v>
      </c>
      <c r="D35" s="311">
        <f>'3.1'!C10*'3.2'!B35/100</f>
        <v>1721815.8551069363</v>
      </c>
      <c r="E35" s="311">
        <f>'3.1'!D10*'3.2'!B35/100</f>
        <v>60719.584884971104</v>
      </c>
      <c r="F35" s="311">
        <f>'3.1'!E10*'3.2'!B35/100</f>
        <v>557.41371445086702</v>
      </c>
      <c r="G35" s="312">
        <f>SUM(C35:F35)</f>
        <v>2649233.9188930634</v>
      </c>
    </row>
    <row r="36" spans="1:7">
      <c r="A36" s="319" t="s">
        <v>376</v>
      </c>
      <c r="B36" s="256">
        <v>6</v>
      </c>
      <c r="C36" s="311">
        <f>'3.1'!B10*'3.2'!B36/100</f>
        <v>371203.31365144515</v>
      </c>
      <c r="D36" s="311">
        <f>'3.1'!C10*'3.2'!B36/100</f>
        <v>737921.08076011564</v>
      </c>
      <c r="E36" s="311">
        <f>'3.1'!D10*'3.2'!B36/100</f>
        <v>26022.679236416185</v>
      </c>
      <c r="F36" s="311">
        <f>'3.1'!E10*'3.2'!B36/100</f>
        <v>238.89159190751445</v>
      </c>
      <c r="G36" s="312">
        <f>SUM(C36:F36)</f>
        <v>1135385.9652398846</v>
      </c>
    </row>
    <row r="37" spans="1:7">
      <c r="A37" s="319" t="s">
        <v>377</v>
      </c>
      <c r="B37" s="256"/>
      <c r="C37" s="256"/>
      <c r="D37" s="256"/>
      <c r="E37" s="256"/>
      <c r="F37" s="256"/>
      <c r="G37" s="310"/>
    </row>
    <row r="38" spans="1:7" s="264" customFormat="1" ht="24.75" thickBot="1">
      <c r="A38" s="320"/>
      <c r="B38" s="314"/>
      <c r="C38" s="315">
        <f>SUM(C33:C37)</f>
        <v>6186721.8941907519</v>
      </c>
      <c r="D38" s="315">
        <f>SUM(D33:D37)</f>
        <v>12298684.679335261</v>
      </c>
      <c r="E38" s="315">
        <f>SUM(E33:E37)</f>
        <v>433711.32060693641</v>
      </c>
      <c r="F38" s="315">
        <f>SUM(F33:F37)</f>
        <v>3981.5265317919075</v>
      </c>
      <c r="G38" s="315">
        <f>SUM(G33:G37)</f>
        <v>18923099.420664746</v>
      </c>
    </row>
    <row r="39" spans="1:7" ht="24.75" thickTop="1">
      <c r="A39" s="316" t="s">
        <v>320</v>
      </c>
      <c r="B39" s="317"/>
      <c r="C39" s="317"/>
      <c r="D39" s="317"/>
      <c r="E39" s="317"/>
      <c r="F39" s="317"/>
      <c r="G39" s="318"/>
    </row>
    <row r="40" spans="1:7">
      <c r="A40" s="331" t="s">
        <v>378</v>
      </c>
      <c r="B40" s="256">
        <v>100</v>
      </c>
      <c r="C40" s="311">
        <f>'3.1'!B11*'3.2'!B40/100</f>
        <v>6434649.6436705207</v>
      </c>
      <c r="D40" s="311">
        <f>'3.1'!C11*'3.2'!B40/100</f>
        <v>8321652.695693641</v>
      </c>
      <c r="E40" s="311">
        <f>'3.1'!D11*'3.2'!B40/100</f>
        <v>300261.6834971098</v>
      </c>
      <c r="F40" s="311">
        <f>'3.1'!E11*'3.2'!B40/100</f>
        <v>2756.4414450867057</v>
      </c>
      <c r="G40" s="312">
        <f>SUM(C40:F40)</f>
        <v>15059320.464306358</v>
      </c>
    </row>
    <row r="41" spans="1:7" s="264" customFormat="1" ht="24.75" thickBot="1">
      <c r="A41" s="320"/>
      <c r="B41" s="314"/>
      <c r="C41" s="315">
        <f>SUM(C40)</f>
        <v>6434649.6436705207</v>
      </c>
      <c r="D41" s="315">
        <f>SUM(D40)</f>
        <v>8321652.695693641</v>
      </c>
      <c r="E41" s="315">
        <f>SUM(E40)</f>
        <v>300261.6834971098</v>
      </c>
      <c r="F41" s="315">
        <f>SUM(F40)</f>
        <v>2756.4414450867057</v>
      </c>
      <c r="G41" s="315">
        <f>SUM(G40)</f>
        <v>15059320.464306358</v>
      </c>
    </row>
    <row r="42" spans="1:7" ht="24.75" thickTop="1">
      <c r="A42" s="316" t="s">
        <v>321</v>
      </c>
      <c r="B42" s="317"/>
      <c r="C42" s="317"/>
      <c r="D42" s="317"/>
      <c r="E42" s="317"/>
      <c r="F42" s="317"/>
      <c r="G42" s="318"/>
    </row>
    <row r="43" spans="1:7">
      <c r="A43" s="319" t="s">
        <v>379</v>
      </c>
      <c r="B43" s="256">
        <v>100</v>
      </c>
      <c r="C43" s="311">
        <f>'3.1'!B12*'3.2'!B43/100</f>
        <v>1530574.4257803471</v>
      </c>
      <c r="D43" s="311">
        <f>'3.1'!C12*'3.2'!B43/100</f>
        <v>4819126.3804624286</v>
      </c>
      <c r="E43" s="311">
        <f>'3.1'!D12*'3.2'!B43/100</f>
        <v>200174.45566473986</v>
      </c>
      <c r="F43" s="311">
        <f>'3.1'!E12*'3.2'!B43/100</f>
        <v>1837.6276300578036</v>
      </c>
      <c r="G43" s="312">
        <f>SUM(C43:F43)</f>
        <v>6551712.8895375729</v>
      </c>
    </row>
    <row r="44" spans="1:7" s="264" customFormat="1" ht="24.75" thickBot="1">
      <c r="A44" s="322"/>
      <c r="B44" s="314"/>
      <c r="C44" s="315">
        <f>SUM(C43:C43)</f>
        <v>1530574.4257803471</v>
      </c>
      <c r="D44" s="315">
        <f>SUM(D43:D43)</f>
        <v>4819126.3804624286</v>
      </c>
      <c r="E44" s="315">
        <f>SUM(E43:E43)</f>
        <v>200174.45566473986</v>
      </c>
      <c r="F44" s="315">
        <f>SUM(F43:F43)</f>
        <v>1837.6276300578036</v>
      </c>
      <c r="G44" s="315">
        <f>SUM(G43:G43)</f>
        <v>6551712.8895375729</v>
      </c>
    </row>
    <row r="45" spans="1:7" ht="24.75" thickTop="1">
      <c r="A45" s="316" t="s">
        <v>322</v>
      </c>
      <c r="B45" s="317"/>
      <c r="C45" s="317"/>
      <c r="D45" s="317"/>
      <c r="E45" s="317"/>
      <c r="F45" s="317"/>
      <c r="G45" s="318"/>
    </row>
    <row r="46" spans="1:7">
      <c r="A46" s="879" t="s">
        <v>1479</v>
      </c>
      <c r="B46" s="256">
        <v>100</v>
      </c>
      <c r="C46" s="311">
        <f>'3.1'!B13*'3.2'!B46/100</f>
        <v>951138.12052023131</v>
      </c>
      <c r="D46" s="311">
        <f>'3.1'!C13*'3.2'!B46/100</f>
        <v>3655410.5636416189</v>
      </c>
      <c r="E46" s="311">
        <f>'3.1'!D13*'3.2'!B46/100</f>
        <v>133449.63710982658</v>
      </c>
      <c r="F46" s="311">
        <f>'3.1'!E13*'3.2'!B46/100</f>
        <v>1225.0850867052022</v>
      </c>
      <c r="G46" s="312">
        <f>SUM(C46:F46)</f>
        <v>4741223.4063583817</v>
      </c>
    </row>
    <row r="47" spans="1:7" s="264" customFormat="1" ht="24.75" thickBot="1">
      <c r="A47" s="878"/>
      <c r="B47" s="334"/>
      <c r="C47" s="358">
        <f>SUM(C46:C46)</f>
        <v>951138.12052023131</v>
      </c>
      <c r="D47" s="358">
        <f>SUM(D46)</f>
        <v>3655410.5636416189</v>
      </c>
      <c r="E47" s="358">
        <f>SUM(E46:E46)</f>
        <v>133449.63710982658</v>
      </c>
      <c r="F47" s="358">
        <f>SUM(F46:F46)</f>
        <v>1225.0850867052022</v>
      </c>
      <c r="G47" s="358">
        <f>SUM(G46:G46)</f>
        <v>4741223.4063583817</v>
      </c>
    </row>
    <row r="48" spans="1:7" ht="24.75" thickTop="1">
      <c r="A48" s="316" t="s">
        <v>250</v>
      </c>
      <c r="B48" s="317"/>
      <c r="C48" s="317"/>
      <c r="D48" s="317"/>
      <c r="E48" s="317"/>
      <c r="F48" s="317"/>
      <c r="G48" s="318"/>
    </row>
    <row r="49" spans="1:7">
      <c r="A49" s="319" t="s">
        <v>251</v>
      </c>
      <c r="B49" s="256">
        <v>76</v>
      </c>
      <c r="C49" s="311">
        <f>'3.1'!B14*'3.2'!B49/100</f>
        <v>1564764.5267942196</v>
      </c>
      <c r="D49" s="311">
        <f>'3.1'!C14*'3.2'!B49/100</f>
        <v>2876045.2319595371</v>
      </c>
      <c r="E49" s="311">
        <f>'3.1'!D14*'3.2'!B49/100</f>
        <v>126777.15525433526</v>
      </c>
      <c r="F49" s="311">
        <f>'3.1'!E14*'3.2'!B49/100</f>
        <v>1163.8308323699423</v>
      </c>
      <c r="G49" s="312">
        <f>SUM(C49:F49)</f>
        <v>4568750.7448404618</v>
      </c>
    </row>
    <row r="50" spans="1:7">
      <c r="A50" s="319" t="s">
        <v>252</v>
      </c>
      <c r="B50" s="256">
        <v>24</v>
      </c>
      <c r="C50" s="311">
        <f>'3.1'!B14*'3.2'!B50/100</f>
        <v>494136.16635606927</v>
      </c>
      <c r="D50" s="311">
        <f>'3.1'!C14*'3.2'!B50/100</f>
        <v>908224.81009248551</v>
      </c>
      <c r="E50" s="311">
        <f>'3.1'!D14*'3.2'!B50/100</f>
        <v>40034.891132947967</v>
      </c>
      <c r="F50" s="311">
        <f>'3.1'!E14*'3.2'!B50/100</f>
        <v>367.52552601156071</v>
      </c>
      <c r="G50" s="312">
        <f>SUM(C50:F50)</f>
        <v>1442763.3931075144</v>
      </c>
    </row>
    <row r="51" spans="1:7" s="264" customFormat="1" ht="24.75" thickBot="1">
      <c r="A51" s="322"/>
      <c r="B51" s="314"/>
      <c r="C51" s="315">
        <f>SUM(C49:C50)</f>
        <v>2058900.6931502889</v>
      </c>
      <c r="D51" s="315">
        <f>SUM(D49:D50)</f>
        <v>3784270.0420520226</v>
      </c>
      <c r="E51" s="315">
        <f>SUM(E49:E50)</f>
        <v>166812.04638728322</v>
      </c>
      <c r="F51" s="315">
        <f>SUM(F49:F50)</f>
        <v>1531.356358381503</v>
      </c>
      <c r="G51" s="315">
        <f>SUM(G49:G50)</f>
        <v>6011514.1379479766</v>
      </c>
    </row>
    <row r="52" spans="1:7" ht="24.75" thickTop="1">
      <c r="A52" s="316" t="s">
        <v>323</v>
      </c>
      <c r="B52" s="317"/>
      <c r="C52" s="317"/>
      <c r="D52" s="317"/>
      <c r="E52" s="317"/>
      <c r="F52" s="317"/>
      <c r="G52" s="318"/>
    </row>
    <row r="53" spans="1:7">
      <c r="A53" s="319" t="s">
        <v>254</v>
      </c>
      <c r="B53" s="256">
        <v>57</v>
      </c>
      <c r="C53" s="311">
        <f>'3.1'!B15*'3.2'!B53/100</f>
        <v>5311910.2946809242</v>
      </c>
      <c r="D53" s="311">
        <f>'3.1'!C15*'3.2'!B53/100</f>
        <v>10984842.737266472</v>
      </c>
      <c r="E53" s="311">
        <f>'3.1'!D15*'3.2'!B53/100</f>
        <v>418364.61233930633</v>
      </c>
      <c r="F53" s="311">
        <f>'3.1'!E15*'3.2'!B53/100</f>
        <v>3840.6417468208092</v>
      </c>
      <c r="G53" s="312">
        <f>SUM(C53:F53)</f>
        <v>16718958.286033524</v>
      </c>
    </row>
    <row r="54" spans="1:7">
      <c r="A54" s="319" t="s">
        <v>255</v>
      </c>
      <c r="B54" s="256">
        <v>43</v>
      </c>
      <c r="C54" s="311">
        <f>'3.1'!B15*'3.2'!B54/100</f>
        <v>4007230.5731803463</v>
      </c>
      <c r="D54" s="311">
        <f>'3.1'!C15*'3.2'!B54/100</f>
        <v>8286811.1877624262</v>
      </c>
      <c r="E54" s="311">
        <f>'3.1'!D15*'3.2'!B54/100</f>
        <v>315608.39176473982</v>
      </c>
      <c r="F54" s="311">
        <f>'3.1'!E15*'3.2'!B54/100</f>
        <v>2897.3262300578035</v>
      </c>
      <c r="G54" s="312">
        <f>SUM(C54:F54)</f>
        <v>12612547.47893757</v>
      </c>
    </row>
    <row r="55" spans="1:7" s="264" customFormat="1" ht="24.75" thickBot="1">
      <c r="A55" s="322"/>
      <c r="B55" s="314"/>
      <c r="C55" s="315">
        <f>SUM(C53:C54)</f>
        <v>9319140.8678612709</v>
      </c>
      <c r="D55" s="315">
        <f>SUM(D53:D54)</f>
        <v>19271653.925028898</v>
      </c>
      <c r="E55" s="315">
        <f>SUM(E53:E54)</f>
        <v>733973.00410404615</v>
      </c>
      <c r="F55" s="315">
        <f>SUM(F53:F54)</f>
        <v>6737.9679768786127</v>
      </c>
      <c r="G55" s="315">
        <f>SUM(G53:G54)</f>
        <v>29331505.764971092</v>
      </c>
    </row>
    <row r="56" spans="1:7" ht="24.75" thickTop="1">
      <c r="A56" s="328" t="s">
        <v>324</v>
      </c>
      <c r="B56" s="329"/>
      <c r="C56" s="329"/>
      <c r="D56" s="329"/>
      <c r="E56" s="329"/>
      <c r="F56" s="329"/>
      <c r="G56" s="330"/>
    </row>
    <row r="57" spans="1:7">
      <c r="A57" s="259" t="s">
        <v>1462</v>
      </c>
      <c r="B57" s="256">
        <v>72</v>
      </c>
      <c r="C57" s="311">
        <f>'3.1'!B16*'3.2'!B57/100</f>
        <v>624332.74698728335</v>
      </c>
      <c r="D57" s="311">
        <f>'3.1'!C16*'3.2'!B57/100</f>
        <v>1532487.3601109826</v>
      </c>
      <c r="E57" s="311">
        <f>'3.1'!D16*'3.2'!B57/100</f>
        <v>48041.869359537566</v>
      </c>
      <c r="F57" s="311">
        <f>'3.1'!E16*'3.2'!B57/100</f>
        <v>441.03063121387282</v>
      </c>
      <c r="G57" s="312">
        <f>SUM(C57:F57)</f>
        <v>2205303.0070890174</v>
      </c>
    </row>
    <row r="58" spans="1:7">
      <c r="A58" s="259" t="s">
        <v>1463</v>
      </c>
      <c r="B58" s="256">
        <v>28</v>
      </c>
      <c r="C58" s="311">
        <f>'3.1'!B16*'3.2'!B58/100</f>
        <v>242796.06827283237</v>
      </c>
      <c r="D58" s="311">
        <f>'3.1'!C16*'3.2'!B58/100</f>
        <v>595967.30670982657</v>
      </c>
      <c r="E58" s="311">
        <f>'3.1'!D16*'3.2'!B58/100</f>
        <v>18682.949195375721</v>
      </c>
      <c r="F58" s="311">
        <f>'3.1'!E16*'3.2'!B58/100</f>
        <v>171.51191213872829</v>
      </c>
      <c r="G58" s="312">
        <f>SUM(C58:F58)</f>
        <v>857617.83609017346</v>
      </c>
    </row>
    <row r="59" spans="1:7" s="264" customFormat="1" ht="24.75" thickBot="1">
      <c r="A59" s="322"/>
      <c r="B59" s="314"/>
      <c r="C59" s="315">
        <f>SUM(C57:C58)</f>
        <v>867128.81526011578</v>
      </c>
      <c r="D59" s="315">
        <f>SUM(D57:D58)</f>
        <v>2128454.6668208092</v>
      </c>
      <c r="E59" s="315">
        <f>SUM(E57:E58)</f>
        <v>66724.81855491329</v>
      </c>
      <c r="F59" s="315">
        <f>SUM(F57:F58)</f>
        <v>612.54254335260111</v>
      </c>
      <c r="G59" s="315">
        <f>SUM(G57:G58)</f>
        <v>3062920.843179191</v>
      </c>
    </row>
    <row r="60" spans="1:7" s="264" customFormat="1" ht="24.75" thickTop="1">
      <c r="A60" s="323"/>
      <c r="B60" s="324"/>
      <c r="C60" s="325"/>
      <c r="D60" s="325"/>
      <c r="E60" s="325"/>
      <c r="F60" s="325"/>
      <c r="G60" s="325"/>
    </row>
    <row r="61" spans="1:7">
      <c r="A61" s="332" t="s">
        <v>259</v>
      </c>
      <c r="B61" s="333"/>
      <c r="C61" s="333"/>
      <c r="D61" s="333"/>
      <c r="E61" s="333"/>
      <c r="F61" s="333"/>
      <c r="G61" s="334"/>
    </row>
    <row r="62" spans="1:7">
      <c r="A62" s="335" t="s">
        <v>260</v>
      </c>
      <c r="B62" s="256">
        <v>60</v>
      </c>
      <c r="C62" s="311">
        <f>'3.1'!B17*'3.2'!B62/100</f>
        <v>636880.87231213867</v>
      </c>
      <c r="D62" s="311">
        <f>'3.1'!C17*'3.2'!B62/100</f>
        <v>2353645.7121849712</v>
      </c>
      <c r="E62" s="311">
        <f>'3.1'!D17*'3.2'!B62/100</f>
        <v>80069.782265895949</v>
      </c>
      <c r="F62" s="311">
        <f>'3.1'!E17*'3.2'!B62/100</f>
        <v>735.05105202312131</v>
      </c>
      <c r="G62" s="312">
        <f>SUM(C62:F62)</f>
        <v>3071331.4178150292</v>
      </c>
    </row>
    <row r="63" spans="1:7">
      <c r="A63" s="319" t="s">
        <v>380</v>
      </c>
      <c r="B63" s="256">
        <v>40</v>
      </c>
      <c r="C63" s="311">
        <f>'3.1'!B17*'3.2'!B63/100</f>
        <v>424587.24820809247</v>
      </c>
      <c r="D63" s="311">
        <f>'3.1'!C17*'3.2'!B63/100</f>
        <v>1569097.1414566475</v>
      </c>
      <c r="E63" s="311">
        <f>'3.1'!D17*'3.2'!B63/100</f>
        <v>53379.854843930632</v>
      </c>
      <c r="F63" s="311">
        <f>'3.1'!E17*'3.2'!B63/100</f>
        <v>490.03403468208091</v>
      </c>
      <c r="G63" s="312">
        <f>SUM(C63:F63)</f>
        <v>2047554.2785433526</v>
      </c>
    </row>
    <row r="64" spans="1:7" s="264" customFormat="1" ht="24.75" thickBot="1">
      <c r="A64" s="336"/>
      <c r="B64" s="337"/>
      <c r="C64" s="338">
        <f>SUM(C62:C63)</f>
        <v>1061468.1205202311</v>
      </c>
      <c r="D64" s="338">
        <f>SUM(D62:D63)</f>
        <v>3922742.853641619</v>
      </c>
      <c r="E64" s="338">
        <f>SUM(E62:E63)</f>
        <v>133449.63710982658</v>
      </c>
      <c r="F64" s="338">
        <f>SUM(F62:F63)</f>
        <v>1225.0850867052022</v>
      </c>
      <c r="G64" s="338">
        <f>SUM(G62:G63)</f>
        <v>5118885.6963583818</v>
      </c>
    </row>
    <row r="65" spans="1:7" ht="24.75" thickTop="1">
      <c r="A65" s="316" t="s">
        <v>381</v>
      </c>
      <c r="B65" s="317"/>
      <c r="C65" s="339"/>
      <c r="D65" s="339"/>
      <c r="E65" s="339"/>
      <c r="F65" s="339"/>
      <c r="G65" s="339"/>
    </row>
    <row r="66" spans="1:7">
      <c r="A66" s="258" t="s">
        <v>263</v>
      </c>
      <c r="B66" s="256">
        <v>100</v>
      </c>
      <c r="C66" s="340">
        <f>'3.1'!B18*'3.2'!B66/100</f>
        <v>4706486.3189306362</v>
      </c>
      <c r="D66" s="340">
        <f>'3.1'!C18*'3.2'!B66/100</f>
        <v>9106784.5225144513</v>
      </c>
      <c r="E66" s="340">
        <f>'3.1'!D18*'3.2'!B66/100</f>
        <v>366986.50205202313</v>
      </c>
      <c r="F66" s="340">
        <f>'3.1'!E18*'3.2'!B66/100</f>
        <v>3368.9839884393064</v>
      </c>
      <c r="G66" s="340">
        <f>SUM(C66:F66)</f>
        <v>14183626.327485552</v>
      </c>
    </row>
    <row r="67" spans="1:7" s="264" customFormat="1" ht="24.75" thickBot="1">
      <c r="A67" s="341"/>
      <c r="B67" s="334"/>
      <c r="C67" s="342">
        <f>SUM(C66)</f>
        <v>4706486.3189306362</v>
      </c>
      <c r="D67" s="342">
        <f>SUM(D66)</f>
        <v>9106784.5225144513</v>
      </c>
      <c r="E67" s="342">
        <f>SUM(E66)</f>
        <v>366986.50205202313</v>
      </c>
      <c r="F67" s="342">
        <f>SUM(F66)</f>
        <v>3368.9839884393064</v>
      </c>
      <c r="G67" s="342">
        <f>SUM(G66)</f>
        <v>14183626.327485552</v>
      </c>
    </row>
    <row r="68" spans="1:7" ht="24.75" thickTop="1">
      <c r="A68" s="343" t="s">
        <v>325</v>
      </c>
      <c r="B68" s="317"/>
      <c r="C68" s="317"/>
      <c r="D68" s="317"/>
      <c r="E68" s="317"/>
      <c r="F68" s="317"/>
      <c r="G68" s="318"/>
    </row>
    <row r="69" spans="1:7">
      <c r="A69" s="319" t="s">
        <v>382</v>
      </c>
      <c r="B69" s="256">
        <v>100</v>
      </c>
      <c r="C69" s="311">
        <f>'3.1'!B19*'3.2'!B69/100</f>
        <v>11713440.071531795</v>
      </c>
      <c r="D69" s="311">
        <f>'3.1'!C19*'3.2'!B69/100</f>
        <v>23886824.410722539</v>
      </c>
      <c r="E69" s="311">
        <f>'3.1'!D19*'3.2'!B69/100</f>
        <v>1034234.687601156</v>
      </c>
      <c r="F69" s="311">
        <f>'3.1'!E19*'3.2'!B69/100</f>
        <v>9494.409421965318</v>
      </c>
      <c r="G69" s="312">
        <f>SUM(C69:F69)</f>
        <v>36643993.579277456</v>
      </c>
    </row>
    <row r="70" spans="1:7" s="264" customFormat="1" ht="24.75" thickBot="1">
      <c r="A70" s="320"/>
      <c r="B70" s="314"/>
      <c r="C70" s="315">
        <f>SUM(C69)</f>
        <v>11713440.071531795</v>
      </c>
      <c r="D70" s="315">
        <f>SUM(D69)</f>
        <v>23886824.410722539</v>
      </c>
      <c r="E70" s="315">
        <f>SUM(E69)</f>
        <v>1034234.687601156</v>
      </c>
      <c r="F70" s="315">
        <f>SUM(F69)</f>
        <v>9494.409421965318</v>
      </c>
      <c r="G70" s="315">
        <f>SUM(G69)</f>
        <v>36643993.579277456</v>
      </c>
    </row>
    <row r="71" spans="1:7" ht="24.75" thickTop="1">
      <c r="A71" s="343" t="s">
        <v>326</v>
      </c>
      <c r="B71" s="317"/>
      <c r="C71" s="317"/>
      <c r="D71" s="317"/>
      <c r="E71" s="317"/>
      <c r="F71" s="317"/>
      <c r="G71" s="318"/>
    </row>
    <row r="72" spans="1:7">
      <c r="A72" s="319" t="s">
        <v>267</v>
      </c>
      <c r="B72" s="256">
        <v>100</v>
      </c>
      <c r="C72" s="311">
        <f>'3.1'!B20*'3.2'!B72/100</f>
        <v>16820492.333092488</v>
      </c>
      <c r="D72" s="311">
        <f>'3.1'!C20*'3.2'!B72/100</f>
        <v>34936937.851647399</v>
      </c>
      <c r="E72" s="311">
        <f>'3.1'!D20*'3.2'!B72/100</f>
        <v>1434583.5989306357</v>
      </c>
      <c r="F72" s="311">
        <f>'3.1'!E20*'3.2'!B72/100</f>
        <v>13169.664682080926</v>
      </c>
      <c r="G72" s="312">
        <f>SUM(C72:F72)</f>
        <v>53205183.448352605</v>
      </c>
    </row>
    <row r="73" spans="1:7" s="264" customFormat="1" ht="24.75" thickBot="1">
      <c r="A73" s="320"/>
      <c r="B73" s="314"/>
      <c r="C73" s="315">
        <f>SUM(C72)</f>
        <v>16820492.333092488</v>
      </c>
      <c r="D73" s="315">
        <f>SUM(D72)</f>
        <v>34936937.851647399</v>
      </c>
      <c r="E73" s="315">
        <f>SUM(E72)</f>
        <v>1434583.5989306357</v>
      </c>
      <c r="F73" s="315">
        <f>SUM(F72)</f>
        <v>13169.664682080926</v>
      </c>
      <c r="G73" s="315">
        <f>SUM(G72)</f>
        <v>53205183.448352605</v>
      </c>
    </row>
    <row r="74" spans="1:7" ht="24.75" thickTop="1">
      <c r="A74" s="343" t="s">
        <v>327</v>
      </c>
      <c r="B74" s="317"/>
      <c r="C74" s="317"/>
      <c r="D74" s="317"/>
      <c r="E74" s="317"/>
      <c r="F74" s="317"/>
      <c r="G74" s="318"/>
    </row>
    <row r="75" spans="1:7">
      <c r="A75" s="319" t="s">
        <v>269</v>
      </c>
      <c r="B75" s="256">
        <v>100</v>
      </c>
      <c r="C75" s="311">
        <f>'3.1'!B21*'3.2'!B75/100</f>
        <v>5545993.7831502883</v>
      </c>
      <c r="D75" s="311">
        <f>'3.1'!C21*'3.2'!B75/100</f>
        <v>5773666.5720520224</v>
      </c>
      <c r="E75" s="311">
        <f>'3.1'!D21*'3.2'!B75/100</f>
        <v>166812.04638728322</v>
      </c>
      <c r="F75" s="311">
        <f>'3.1'!E21*'3.2'!B75/100</f>
        <v>1531.356358381503</v>
      </c>
      <c r="G75" s="312">
        <f>SUM(C75:F75)</f>
        <v>11488003.757947974</v>
      </c>
    </row>
    <row r="76" spans="1:7" s="264" customFormat="1" ht="24.75" thickBot="1">
      <c r="A76" s="344"/>
      <c r="B76" s="314"/>
      <c r="C76" s="315">
        <f>SUM(C75:C75)</f>
        <v>5545993.7831502883</v>
      </c>
      <c r="D76" s="315">
        <f>SUM(D75:D75)</f>
        <v>5773666.5720520224</v>
      </c>
      <c r="E76" s="315">
        <f>SUM(E75:E75)</f>
        <v>166812.04638728322</v>
      </c>
      <c r="F76" s="315">
        <f>SUM(F75:F75)</f>
        <v>1531.356358381503</v>
      </c>
      <c r="G76" s="315">
        <f>SUM(G75:G75)</f>
        <v>11488003.757947974</v>
      </c>
    </row>
    <row r="77" spans="1:7" ht="24.75" thickTop="1">
      <c r="A77" s="343" t="s">
        <v>328</v>
      </c>
      <c r="B77" s="317"/>
      <c r="C77" s="317"/>
      <c r="D77" s="317"/>
      <c r="E77" s="317"/>
      <c r="F77" s="317"/>
      <c r="G77" s="318"/>
    </row>
    <row r="78" spans="1:7">
      <c r="A78" s="345" t="s">
        <v>1484</v>
      </c>
      <c r="B78" s="256">
        <v>100</v>
      </c>
      <c r="C78" s="311">
        <f>'3.1'!B22*'3.2'!B78/100</f>
        <v>161278.66263005781</v>
      </c>
      <c r="D78" s="311">
        <f>'3.1'!C22*'3.2'!B78/100</f>
        <v>913864.69841040473</v>
      </c>
      <c r="E78" s="311">
        <f>'3.1'!D22*'3.2'!B78/100</f>
        <v>33362.409277456645</v>
      </c>
      <c r="F78" s="311">
        <f>'3.1'!E22*'3.2'!B78/100</f>
        <v>306.27127167630056</v>
      </c>
      <c r="G78" s="312">
        <f>SUM(C78:F78)</f>
        <v>1108812.0415895954</v>
      </c>
    </row>
    <row r="79" spans="1:7" s="264" customFormat="1" ht="24.75" thickBot="1">
      <c r="A79" s="320"/>
      <c r="B79" s="314"/>
      <c r="C79" s="315">
        <f>SUM(C78)</f>
        <v>161278.66263005781</v>
      </c>
      <c r="D79" s="315">
        <f>SUM(D78)</f>
        <v>913864.69841040473</v>
      </c>
      <c r="E79" s="315">
        <f>SUM(E78)</f>
        <v>33362.409277456645</v>
      </c>
      <c r="F79" s="315">
        <f>SUM(F78)</f>
        <v>306.27127167630056</v>
      </c>
      <c r="G79" s="315">
        <f>SUM(G78)</f>
        <v>1108812.0415895954</v>
      </c>
    </row>
    <row r="80" spans="1:7" ht="24.75" thickTop="1">
      <c r="A80" s="346" t="s">
        <v>272</v>
      </c>
      <c r="B80" s="333"/>
      <c r="C80" s="347"/>
      <c r="D80" s="347"/>
      <c r="E80" s="347"/>
      <c r="F80" s="347"/>
      <c r="G80" s="347"/>
    </row>
    <row r="81" spans="1:7">
      <c r="A81" s="267" t="s">
        <v>273</v>
      </c>
      <c r="B81" s="256">
        <v>100</v>
      </c>
      <c r="C81" s="340">
        <f>'3.1'!B23*'3.2'!B81/100</f>
        <v>6373096.3963005785</v>
      </c>
      <c r="D81" s="340">
        <f>'3.1'!C23*'3.2'!B81/100</f>
        <v>8203531.1641040472</v>
      </c>
      <c r="E81" s="340">
        <f>'3.1'!D23*'3.2'!B81/100</f>
        <v>333624.09277456644</v>
      </c>
      <c r="F81" s="340">
        <f>'3.1'!E23*'3.2'!B81/100</f>
        <v>3062.712716763006</v>
      </c>
      <c r="G81" s="340">
        <f>SUM(C81:F81)</f>
        <v>14913314.365895955</v>
      </c>
    </row>
    <row r="82" spans="1:7" s="264" customFormat="1" ht="24.75" thickBot="1">
      <c r="A82" s="313" t="s">
        <v>383</v>
      </c>
      <c r="B82" s="348"/>
      <c r="C82" s="349">
        <f>SUM(C81)</f>
        <v>6373096.3963005785</v>
      </c>
      <c r="D82" s="349">
        <f>SUM(D81)</f>
        <v>8203531.1641040472</v>
      </c>
      <c r="E82" s="349">
        <f>SUM(E81)</f>
        <v>333624.09277456644</v>
      </c>
      <c r="F82" s="349">
        <f>SUM(F81)</f>
        <v>3062.712716763006</v>
      </c>
      <c r="G82" s="350">
        <f>SUM(G81)</f>
        <v>14913314.365895955</v>
      </c>
    </row>
    <row r="83" spans="1:7" ht="24.75" thickTop="1">
      <c r="A83" s="351" t="s">
        <v>330</v>
      </c>
      <c r="B83" s="329"/>
      <c r="C83" s="329"/>
      <c r="D83" s="329"/>
      <c r="E83" s="329"/>
      <c r="F83" s="329"/>
      <c r="G83" s="330"/>
    </row>
    <row r="84" spans="1:7">
      <c r="A84" s="352" t="s">
        <v>275</v>
      </c>
      <c r="B84" s="256">
        <v>100</v>
      </c>
      <c r="C84" s="311">
        <f>'3.1'!B24*'3.2'!B84/100</f>
        <v>7569296.4220809229</v>
      </c>
      <c r="D84" s="311">
        <f>'3.1'!C24*'3.2'!B84/100</f>
        <v>12502822.874566473</v>
      </c>
      <c r="E84" s="311">
        <f>'3.1'!D24*'3.2'!B84/100</f>
        <v>533798.54843930632</v>
      </c>
      <c r="F84" s="311">
        <f>'3.1'!E24*'3.2'!B84/100</f>
        <v>4900.3403468208089</v>
      </c>
      <c r="G84" s="276">
        <f>SUM(C84:F84)</f>
        <v>20610818.185433522</v>
      </c>
    </row>
    <row r="85" spans="1:7" s="264" customFormat="1" ht="24.75" thickBot="1">
      <c r="A85" s="313" t="s">
        <v>383</v>
      </c>
      <c r="B85" s="348"/>
      <c r="C85" s="349">
        <f>SUM(C84)</f>
        <v>7569296.4220809229</v>
      </c>
      <c r="D85" s="349">
        <f>SUM(D84)</f>
        <v>12502822.874566473</v>
      </c>
      <c r="E85" s="349">
        <f>SUM(E84)</f>
        <v>533798.54843930632</v>
      </c>
      <c r="F85" s="349">
        <f>SUM(F84)</f>
        <v>4900.3403468208089</v>
      </c>
      <c r="G85" s="350">
        <f>SUM(G84)</f>
        <v>20610818.185433522</v>
      </c>
    </row>
    <row r="86" spans="1:7" ht="24.75" thickTop="1">
      <c r="A86" s="351" t="s">
        <v>331</v>
      </c>
      <c r="B86" s="329"/>
      <c r="C86" s="329"/>
      <c r="D86" s="329"/>
      <c r="E86" s="329"/>
      <c r="F86" s="329"/>
      <c r="G86" s="330"/>
    </row>
    <row r="87" spans="1:7">
      <c r="A87" s="352" t="s">
        <v>384</v>
      </c>
      <c r="B87" s="256">
        <v>100</v>
      </c>
      <c r="C87" s="311">
        <f>'3.1'!B25*'3.2'!B87/100</f>
        <v>3509040.4257803471</v>
      </c>
      <c r="D87" s="311">
        <f>'3.1'!C25*'3.2'!B87/100</f>
        <v>4404196.2904624287</v>
      </c>
      <c r="E87" s="311">
        <f>'3.1'!D25*'3.2'!B87/100</f>
        <v>200174.45566473986</v>
      </c>
      <c r="F87" s="311">
        <f>'3.1'!E25*'3.2'!B87/100</f>
        <v>1837.6276300578036</v>
      </c>
      <c r="G87" s="276">
        <f>SUM(C87:F87)</f>
        <v>8115248.799537573</v>
      </c>
    </row>
    <row r="88" spans="1:7" s="264" customFormat="1" ht="24.75" thickBot="1">
      <c r="A88" s="313" t="s">
        <v>383</v>
      </c>
      <c r="B88" s="348"/>
      <c r="C88" s="349">
        <f>SUM(C87)</f>
        <v>3509040.4257803471</v>
      </c>
      <c r="D88" s="349">
        <f>SUM(D87)</f>
        <v>4404196.2904624287</v>
      </c>
      <c r="E88" s="349">
        <f>SUM(E87)</f>
        <v>200174.45566473986</v>
      </c>
      <c r="F88" s="349">
        <f>SUM(F87)</f>
        <v>1837.6276300578036</v>
      </c>
      <c r="G88" s="350">
        <f>SUM(G87)</f>
        <v>8115248.799537573</v>
      </c>
    </row>
    <row r="89" spans="1:7" s="264" customFormat="1" ht="24.75" thickTop="1">
      <c r="A89" s="353"/>
      <c r="B89" s="354"/>
      <c r="C89" s="355"/>
      <c r="D89" s="355"/>
      <c r="E89" s="355"/>
      <c r="F89" s="355"/>
      <c r="G89" s="356"/>
    </row>
    <row r="90" spans="1:7">
      <c r="A90" s="351" t="s">
        <v>278</v>
      </c>
      <c r="B90" s="357"/>
      <c r="C90" s="358"/>
      <c r="D90" s="358"/>
      <c r="E90" s="358"/>
      <c r="F90" s="358"/>
      <c r="G90" s="263"/>
    </row>
    <row r="91" spans="1:7">
      <c r="A91" s="331" t="s">
        <v>1477</v>
      </c>
      <c r="B91" s="256">
        <v>100</v>
      </c>
      <c r="C91" s="311">
        <f>'3.1'!B26*'3.2'!B91/100</f>
        <v>4246943.7584104044</v>
      </c>
      <c r="D91" s="311">
        <f>'3.1'!C26*'3.2'!B91/100</f>
        <v>5366761.8388728313</v>
      </c>
      <c r="E91" s="311">
        <f>'3.1'!D26*'3.2'!B91/100</f>
        <v>233536.86494219652</v>
      </c>
      <c r="F91" s="311">
        <f>'3.1'!E26*'3.2'!B91/100</f>
        <v>2143.8989017341041</v>
      </c>
      <c r="G91" s="276">
        <f>SUM(C91:F91)</f>
        <v>9849386.3611271679</v>
      </c>
    </row>
    <row r="92" spans="1:7" s="264" customFormat="1" ht="24.75" thickBot="1">
      <c r="A92" s="344"/>
      <c r="B92" s="348"/>
      <c r="C92" s="349">
        <f>SUM(C91)</f>
        <v>4246943.7584104044</v>
      </c>
      <c r="D92" s="349">
        <f>SUM(D91)</f>
        <v>5366761.8388728313</v>
      </c>
      <c r="E92" s="349">
        <f>SUM(E91)</f>
        <v>233536.86494219652</v>
      </c>
      <c r="F92" s="349">
        <f>SUM(F91)</f>
        <v>2143.8989017341041</v>
      </c>
      <c r="G92" s="350">
        <f>SUM(G91)</f>
        <v>9849386.3611271679</v>
      </c>
    </row>
    <row r="93" spans="1:7" ht="24.75" thickTop="1">
      <c r="A93" s="343" t="s">
        <v>332</v>
      </c>
      <c r="B93" s="359"/>
      <c r="C93" s="360"/>
      <c r="D93" s="360"/>
      <c r="E93" s="360"/>
      <c r="F93" s="360"/>
      <c r="G93" s="361"/>
    </row>
    <row r="94" spans="1:7">
      <c r="A94" s="319" t="s">
        <v>385</v>
      </c>
      <c r="B94" s="256">
        <v>100</v>
      </c>
      <c r="C94" s="311">
        <f>'3.1'!B27*'3.2'!B94/100</f>
        <v>4816140.7910404634</v>
      </c>
      <c r="D94" s="311">
        <f>'3.1'!C27*'3.2'!B94/100</f>
        <v>6327920.7272832384</v>
      </c>
      <c r="E94" s="311">
        <f>'3.1'!D27*'3.2'!B94/100</f>
        <v>266899.27421965316</v>
      </c>
      <c r="F94" s="311">
        <f>'3.1'!E27*'3.2'!B94/100</f>
        <v>2450.1701734104045</v>
      </c>
      <c r="G94" s="276">
        <f>SUM(C94:F94)</f>
        <v>11413410.962716764</v>
      </c>
    </row>
    <row r="95" spans="1:7" s="264" customFormat="1" ht="24.75" thickBot="1">
      <c r="A95" s="344"/>
      <c r="B95" s="348"/>
      <c r="C95" s="350">
        <f>SUM(C94)</f>
        <v>4816140.7910404634</v>
      </c>
      <c r="D95" s="350">
        <f>SUM(D94)</f>
        <v>6327920.7272832384</v>
      </c>
      <c r="E95" s="350">
        <f>SUM(E94)</f>
        <v>266899.27421965316</v>
      </c>
      <c r="F95" s="350">
        <f>SUM(F94)</f>
        <v>2450.1701734104045</v>
      </c>
      <c r="G95" s="350">
        <f>SUM(G94)</f>
        <v>11413410.962716764</v>
      </c>
    </row>
    <row r="96" spans="1:7" ht="24.75" thickTop="1">
      <c r="A96" s="343" t="s">
        <v>282</v>
      </c>
      <c r="B96" s="359"/>
      <c r="C96" s="362"/>
      <c r="D96" s="362"/>
      <c r="E96" s="362"/>
      <c r="F96" s="362"/>
      <c r="G96" s="361"/>
    </row>
    <row r="97" spans="1:7">
      <c r="A97" s="319" t="s">
        <v>386</v>
      </c>
      <c r="B97" s="256">
        <v>60</v>
      </c>
      <c r="C97" s="311">
        <f>'3.1'!B28*'3.2'!B97/100</f>
        <v>207325.08915606936</v>
      </c>
      <c r="D97" s="311">
        <f>'3.1'!C28*'3.2'!B97/100</f>
        <v>1746869.0500924855</v>
      </c>
      <c r="E97" s="311">
        <f>'3.1'!D28*'3.2'!B97/100</f>
        <v>40034.891132947974</v>
      </c>
      <c r="F97" s="311">
        <f>'3.1'!E28*'3.2'!B97/100</f>
        <v>367.52552601156066</v>
      </c>
      <c r="G97" s="276">
        <f>SUM(C97:F97)</f>
        <v>1994596.5559075144</v>
      </c>
    </row>
    <row r="98" spans="1:7">
      <c r="A98" s="319" t="s">
        <v>387</v>
      </c>
      <c r="B98" s="256">
        <v>40</v>
      </c>
      <c r="C98" s="311">
        <f>'3.1'!B28*'3.2'!B98/100</f>
        <v>138216.72610404625</v>
      </c>
      <c r="D98" s="311">
        <f>'3.1'!C28*'3.2'!B98/100</f>
        <v>1164579.3667283237</v>
      </c>
      <c r="E98" s="311">
        <f>'3.1'!D28*'3.2'!B98/100</f>
        <v>26689.927421965316</v>
      </c>
      <c r="F98" s="311">
        <f>'3.1'!E28*'3.2'!B98/100</f>
        <v>245.01701734104046</v>
      </c>
      <c r="G98" s="276">
        <f>SUM(C98:F98)</f>
        <v>1329731.0372716764</v>
      </c>
    </row>
    <row r="99" spans="1:7" s="264" customFormat="1" ht="24.75" thickBot="1">
      <c r="A99" s="320"/>
      <c r="B99" s="348"/>
      <c r="C99" s="349">
        <f>SUM(C97:C98)</f>
        <v>345541.8152601156</v>
      </c>
      <c r="D99" s="349">
        <f>SUM(D97:D98)</f>
        <v>2911448.4168208092</v>
      </c>
      <c r="E99" s="349">
        <f>SUM(E97:E98)</f>
        <v>66724.81855491329</v>
      </c>
      <c r="F99" s="349">
        <f>SUM(F97:F98)</f>
        <v>612.54254335260111</v>
      </c>
      <c r="G99" s="350">
        <f>SUM(G97:G98)</f>
        <v>3324327.5931791905</v>
      </c>
    </row>
    <row r="100" spans="1:7" ht="24.75" thickTop="1">
      <c r="A100" s="343" t="s">
        <v>333</v>
      </c>
      <c r="B100" s="359"/>
      <c r="C100" s="360"/>
      <c r="D100" s="360"/>
      <c r="E100" s="360"/>
      <c r="F100" s="360"/>
      <c r="G100" s="361"/>
    </row>
    <row r="101" spans="1:7">
      <c r="A101" s="345" t="s">
        <v>388</v>
      </c>
      <c r="B101" s="256">
        <v>100</v>
      </c>
      <c r="C101" s="311">
        <f>'3.1'!B29*'3.2'!B101/100</f>
        <v>5605127.2163005779</v>
      </c>
      <c r="D101" s="311">
        <f>'3.1'!C29*'3.2'!B101/100</f>
        <v>7445862.1641040472</v>
      </c>
      <c r="E101" s="311">
        <f>'3.1'!D29*'3.2'!B101/100</f>
        <v>333624.09277456644</v>
      </c>
      <c r="F101" s="311">
        <f>'3.1'!E29*'3.2'!B101/100</f>
        <v>3062.712716763006</v>
      </c>
      <c r="G101" s="276">
        <f>SUM(C101:F101)</f>
        <v>13387676.185895955</v>
      </c>
    </row>
    <row r="102" spans="1:7" s="264" customFormat="1" ht="24.75" thickBot="1">
      <c r="A102" s="363"/>
      <c r="B102" s="348"/>
      <c r="C102" s="349">
        <f>SUM(C101)</f>
        <v>5605127.2163005779</v>
      </c>
      <c r="D102" s="349">
        <f>SUM(D101)</f>
        <v>7445862.1641040472</v>
      </c>
      <c r="E102" s="349">
        <f>SUM(E101)</f>
        <v>333624.09277456644</v>
      </c>
      <c r="F102" s="349">
        <f>SUM(F101)</f>
        <v>3062.712716763006</v>
      </c>
      <c r="G102" s="350">
        <f>SUM(G101)</f>
        <v>13387676.185895955</v>
      </c>
    </row>
    <row r="103" spans="1:7" s="264" customFormat="1" ht="24.75" thickTop="1">
      <c r="A103" s="905" t="s">
        <v>1546</v>
      </c>
      <c r="B103" s="906"/>
      <c r="C103" s="299"/>
      <c r="D103" s="299"/>
      <c r="E103" s="299"/>
      <c r="F103" s="299"/>
      <c r="G103" s="385"/>
    </row>
    <row r="104" spans="1:7" s="264" customFormat="1">
      <c r="A104" s="907" t="s">
        <v>1548</v>
      </c>
      <c r="B104" s="928">
        <v>100</v>
      </c>
      <c r="C104" s="311">
        <f>'3.1'!B30*'3.2'!B104/100</f>
        <v>143278.66263005781</v>
      </c>
      <c r="D104" s="311">
        <f>'3.1'!C30*'3.2'!B104/100</f>
        <v>986943.93841040472</v>
      </c>
      <c r="E104" s="311">
        <f>'3.1'!D30*'3.2'!B104/100</f>
        <v>33362.409277456645</v>
      </c>
      <c r="F104" s="311">
        <f>'3.1'!E30*'3.2'!B104/100</f>
        <v>306.27127167630056</v>
      </c>
      <c r="G104" s="276">
        <f>SUM(C104:F104)</f>
        <v>1163891.2815895954</v>
      </c>
    </row>
    <row r="105" spans="1:7" s="264" customFormat="1" ht="24.75" thickBot="1">
      <c r="A105" s="905"/>
      <c r="B105" s="906"/>
      <c r="C105" s="299">
        <f>SUM(C104)</f>
        <v>143278.66263005781</v>
      </c>
      <c r="D105" s="299">
        <f t="shared" ref="D105:G105" si="0">SUM(D104)</f>
        <v>986943.93841040472</v>
      </c>
      <c r="E105" s="299">
        <f t="shared" si="0"/>
        <v>33362.409277456645</v>
      </c>
      <c r="F105" s="299">
        <f t="shared" si="0"/>
        <v>306.27127167630056</v>
      </c>
      <c r="G105" s="299">
        <f t="shared" si="0"/>
        <v>1163891.2815895954</v>
      </c>
    </row>
    <row r="106" spans="1:7" ht="24.75" thickTop="1">
      <c r="A106" s="364" t="s">
        <v>288</v>
      </c>
      <c r="B106" s="359"/>
      <c r="C106" s="360"/>
      <c r="D106" s="360"/>
      <c r="E106" s="360"/>
      <c r="F106" s="360"/>
      <c r="G106" s="361"/>
    </row>
    <row r="107" spans="1:7" s="264" customFormat="1">
      <c r="A107" s="258" t="s">
        <v>334</v>
      </c>
      <c r="B107" s="310"/>
      <c r="C107" s="365"/>
      <c r="D107" s="365"/>
      <c r="E107" s="365"/>
      <c r="F107" s="365"/>
      <c r="G107" s="365"/>
    </row>
    <row r="108" spans="1:7" s="264" customFormat="1">
      <c r="A108" s="267" t="s">
        <v>389</v>
      </c>
      <c r="B108" s="256">
        <v>100</v>
      </c>
      <c r="C108" s="311">
        <f>'3.1'!B32*'3.2'!B108/100</f>
        <v>1370078.6626300577</v>
      </c>
      <c r="D108" s="311">
        <f>'3.1'!C32*'3.2'!B108/100</f>
        <v>1204035.8484104048</v>
      </c>
      <c r="E108" s="311">
        <f>'3.1'!D32*'3.2'!B108/100</f>
        <v>33362.409277456645</v>
      </c>
      <c r="F108" s="311">
        <f>'3.1'!E32*'3.2'!B108/100</f>
        <v>306.27127167630056</v>
      </c>
      <c r="G108" s="365">
        <f>SUM(C108:F108)</f>
        <v>2607783.1915895953</v>
      </c>
    </row>
    <row r="109" spans="1:7" s="264" customFormat="1" ht="24.75" thickBot="1">
      <c r="A109" s="320"/>
      <c r="B109" s="314"/>
      <c r="C109" s="349">
        <f>SUM(C108)</f>
        <v>1370078.6626300577</v>
      </c>
      <c r="D109" s="349">
        <f>SUM(D108)</f>
        <v>1204035.8484104048</v>
      </c>
      <c r="E109" s="349">
        <f>SUM(E108)</f>
        <v>33362.409277456645</v>
      </c>
      <c r="F109" s="349">
        <f>SUM(F108)</f>
        <v>306.27127167630056</v>
      </c>
      <c r="G109" s="349">
        <f>SUM(G108)</f>
        <v>2607783.1915895953</v>
      </c>
    </row>
    <row r="110" spans="1:7" s="264" customFormat="1" ht="24.75" thickTop="1">
      <c r="A110" s="332" t="s">
        <v>335</v>
      </c>
      <c r="B110" s="330"/>
      <c r="C110" s="366"/>
      <c r="D110" s="366"/>
      <c r="E110" s="366"/>
      <c r="F110" s="366"/>
      <c r="G110" s="366"/>
    </row>
    <row r="111" spans="1:7" s="264" customFormat="1">
      <c r="A111" s="367" t="s">
        <v>390</v>
      </c>
      <c r="B111" s="256">
        <v>100</v>
      </c>
      <c r="C111" s="298">
        <f>'3.1'!B33*'3.2'!B111/100</f>
        <v>916318.66263005789</v>
      </c>
      <c r="D111" s="298">
        <f>'3.1'!C33*'3.2'!B111/100</f>
        <v>951278.69841040473</v>
      </c>
      <c r="E111" s="298">
        <f>'3.1'!D33*'3.2'!B111/100</f>
        <v>33362.409277456645</v>
      </c>
      <c r="F111" s="298">
        <f>'3.1'!E33*'3.2'!B111/100</f>
        <v>306.27127167630056</v>
      </c>
      <c r="G111" s="365">
        <f>SUM(C111:F111)</f>
        <v>1901266.0415895956</v>
      </c>
    </row>
    <row r="112" spans="1:7" s="264" customFormat="1" ht="24.75" thickBot="1">
      <c r="A112" s="368"/>
      <c r="B112" s="314"/>
      <c r="C112" s="349">
        <f>SUM(C111)</f>
        <v>916318.66263005789</v>
      </c>
      <c r="D112" s="349">
        <f>SUM(D111)</f>
        <v>951278.69841040473</v>
      </c>
      <c r="E112" s="349">
        <f>SUM(E111)</f>
        <v>33362.409277456645</v>
      </c>
      <c r="F112" s="349">
        <f>SUM(F111)</f>
        <v>306.27127167630056</v>
      </c>
      <c r="G112" s="349">
        <f>SUM(G111)</f>
        <v>1901266.0415895956</v>
      </c>
    </row>
    <row r="113" spans="1:7" s="264" customFormat="1" ht="24.75" thickTop="1">
      <c r="A113" s="332" t="s">
        <v>336</v>
      </c>
      <c r="B113" s="330"/>
      <c r="C113" s="366"/>
      <c r="D113" s="366"/>
      <c r="E113" s="366"/>
      <c r="F113" s="366"/>
      <c r="G113" s="366"/>
    </row>
    <row r="114" spans="1:7" s="264" customFormat="1">
      <c r="A114" s="369" t="s">
        <v>391</v>
      </c>
      <c r="B114" s="256">
        <v>65</v>
      </c>
      <c r="C114" s="358">
        <f>'3.1'!B34*'3.2'!B114/100</f>
        <v>1254055.2152572256</v>
      </c>
      <c r="D114" s="358">
        <f>'3.1'!C34*'3.2'!B114/100</f>
        <v>3173276.7888005786</v>
      </c>
      <c r="E114" s="358">
        <f>'3.1'!D34*'3.2'!B114/100</f>
        <v>130113.39618208092</v>
      </c>
      <c r="F114" s="358">
        <f>'3.1'!E34*'3.2'!B114/100</f>
        <v>1194.4579595375724</v>
      </c>
      <c r="G114" s="365">
        <f>SUM(C114:F114)</f>
        <v>4558639.8581994222</v>
      </c>
    </row>
    <row r="115" spans="1:7" s="264" customFormat="1">
      <c r="A115" s="369" t="s">
        <v>392</v>
      </c>
      <c r="B115" s="256">
        <v>35</v>
      </c>
      <c r="C115" s="358">
        <f>'3.1'!B34*'3.2'!B115/100</f>
        <v>675260.50052312156</v>
      </c>
      <c r="D115" s="358">
        <f>'3.1'!C34*'3.2'!B115/100</f>
        <v>1708687.5016618499</v>
      </c>
      <c r="E115" s="358">
        <f>'3.1'!D34*'3.2'!B115/100</f>
        <v>70061.059482658966</v>
      </c>
      <c r="F115" s="358">
        <f>'3.1'!E34*'3.2'!B115/100</f>
        <v>643.16967052023119</v>
      </c>
      <c r="G115" s="365">
        <f>SUM(C115:F115)</f>
        <v>2454652.2313381503</v>
      </c>
    </row>
    <row r="116" spans="1:7" s="264" customFormat="1" ht="24.75" thickBot="1">
      <c r="A116" s="370"/>
      <c r="B116" s="314"/>
      <c r="C116" s="349">
        <f>SUM(C114:C115)</f>
        <v>1929315.7157803471</v>
      </c>
      <c r="D116" s="349">
        <f>SUM(D114:D115)</f>
        <v>4881964.2904624287</v>
      </c>
      <c r="E116" s="349">
        <f>SUM(E114:E115)</f>
        <v>200174.45566473989</v>
      </c>
      <c r="F116" s="349">
        <f>SUM(F114:F115)</f>
        <v>1837.6276300578036</v>
      </c>
      <c r="G116" s="349">
        <f>SUM(G114:G115)</f>
        <v>7013292.0895375721</v>
      </c>
    </row>
    <row r="117" spans="1:7" s="264" customFormat="1" ht="24.75" thickTop="1">
      <c r="A117" s="936"/>
      <c r="B117" s="324"/>
      <c r="C117" s="355"/>
      <c r="D117" s="355"/>
      <c r="E117" s="355"/>
      <c r="F117" s="355"/>
      <c r="G117" s="355"/>
    </row>
    <row r="118" spans="1:7" s="264" customFormat="1">
      <c r="A118" s="937"/>
      <c r="B118" s="238"/>
      <c r="C118" s="289"/>
      <c r="D118" s="289"/>
      <c r="E118" s="289"/>
      <c r="F118" s="289"/>
      <c r="G118" s="289"/>
    </row>
    <row r="119" spans="1:7" s="264" customFormat="1">
      <c r="A119" s="332" t="s">
        <v>337</v>
      </c>
      <c r="B119" s="330"/>
      <c r="C119" s="366"/>
      <c r="D119" s="366"/>
      <c r="E119" s="366"/>
      <c r="F119" s="366"/>
      <c r="G119" s="366"/>
    </row>
    <row r="120" spans="1:7" s="264" customFormat="1">
      <c r="A120" s="371" t="s">
        <v>393</v>
      </c>
      <c r="B120" s="256">
        <v>70</v>
      </c>
      <c r="C120" s="372">
        <f>'3.1'!B35*'3.2'!B120/100</f>
        <v>609784.9575231215</v>
      </c>
      <c r="D120" s="372">
        <f>'3.1'!C35*'3.2'!B120/100</f>
        <v>1979553.5446618504</v>
      </c>
      <c r="E120" s="372">
        <f>'3.1'!D35*'3.2'!B120/100</f>
        <v>70061.059482658966</v>
      </c>
      <c r="F120" s="372">
        <f>'3.1'!E35*'3.2'!B120/100</f>
        <v>643.16967052023119</v>
      </c>
      <c r="G120" s="365">
        <f>SUM(C120:F120)</f>
        <v>2660042.7313381513</v>
      </c>
    </row>
    <row r="121" spans="1:7" s="264" customFormat="1">
      <c r="A121" s="371" t="s">
        <v>394</v>
      </c>
      <c r="B121" s="256">
        <v>30</v>
      </c>
      <c r="C121" s="372">
        <f>'3.1'!B35*'3.2'!B121/100</f>
        <v>261336.41036705207</v>
      </c>
      <c r="D121" s="372">
        <f>'3.1'!C35*'3.2'!B121/100</f>
        <v>848380.09056936437</v>
      </c>
      <c r="E121" s="372">
        <f>'3.1'!D35*'3.2'!B121/100</f>
        <v>30026.168349710981</v>
      </c>
      <c r="F121" s="372">
        <f>'3.1'!E35*'3.2'!B121/100</f>
        <v>275.64414450867054</v>
      </c>
      <c r="G121" s="365">
        <f>SUM(C121:F121)</f>
        <v>1140018.3134306362</v>
      </c>
    </row>
    <row r="122" spans="1:7" s="264" customFormat="1" ht="24.75" thickBot="1">
      <c r="A122" s="320"/>
      <c r="B122" s="314"/>
      <c r="C122" s="349">
        <f>SUM(C120:C121)</f>
        <v>871121.36789017357</v>
      </c>
      <c r="D122" s="349">
        <f>SUM(D120:D121)</f>
        <v>2827933.6352312146</v>
      </c>
      <c r="E122" s="349">
        <f>SUM(E120:E121)</f>
        <v>100087.22783236994</v>
      </c>
      <c r="F122" s="349">
        <f>SUM(F120:F121)</f>
        <v>918.81381502890167</v>
      </c>
      <c r="G122" s="349">
        <f>SUM(G120:G121)</f>
        <v>3800061.0447687875</v>
      </c>
    </row>
    <row r="123" spans="1:7" s="264" customFormat="1" ht="24.75" thickTop="1">
      <c r="A123" s="332" t="s">
        <v>338</v>
      </c>
      <c r="B123" s="330"/>
      <c r="C123" s="366"/>
      <c r="D123" s="366"/>
      <c r="E123" s="366"/>
      <c r="F123" s="366"/>
      <c r="G123" s="366"/>
    </row>
    <row r="124" spans="1:7" s="264" customFormat="1">
      <c r="A124" s="369" t="s">
        <v>395</v>
      </c>
      <c r="B124" s="256">
        <v>100</v>
      </c>
      <c r="C124" s="298">
        <f>'3.1'!B36*'3.2'!B124/100</f>
        <v>1853844.4257803471</v>
      </c>
      <c r="D124" s="298">
        <f>'3.1'!C36*'3.2'!B124/100</f>
        <v>5101904.2904624287</v>
      </c>
      <c r="E124" s="298">
        <f>'3.1'!D36*'3.2'!B124/100</f>
        <v>200174.45566473986</v>
      </c>
      <c r="F124" s="298">
        <f>'3.1'!E36*'3.2'!B124/100</f>
        <v>1837.6276300578036</v>
      </c>
      <c r="G124" s="365">
        <f>SUM(C124:F124)</f>
        <v>7157760.799537573</v>
      </c>
    </row>
    <row r="125" spans="1:7" s="264" customFormat="1" ht="24.75" thickBot="1">
      <c r="A125" s="320"/>
      <c r="B125" s="314"/>
      <c r="C125" s="349">
        <f>SUM(C124)</f>
        <v>1853844.4257803471</v>
      </c>
      <c r="D125" s="349">
        <f>SUM(D124)</f>
        <v>5101904.2904624287</v>
      </c>
      <c r="E125" s="349">
        <f>SUM(E124)</f>
        <v>200174.45566473986</v>
      </c>
      <c r="F125" s="349">
        <f>SUM(F124)</f>
        <v>1837.6276300578036</v>
      </c>
      <c r="G125" s="349">
        <f>SUM(G124)</f>
        <v>7157760.799537573</v>
      </c>
    </row>
    <row r="126" spans="1:7" s="264" customFormat="1" ht="24.75" thickTop="1">
      <c r="A126" s="316" t="s">
        <v>496</v>
      </c>
      <c r="B126" s="318"/>
      <c r="C126" s="374"/>
      <c r="D126" s="374"/>
      <c r="E126" s="374"/>
      <c r="F126" s="374"/>
      <c r="G126" s="374"/>
    </row>
    <row r="127" spans="1:7" s="264" customFormat="1">
      <c r="A127" s="319" t="s">
        <v>396</v>
      </c>
      <c r="B127" s="256">
        <v>100</v>
      </c>
      <c r="C127" s="311">
        <f>'3.1'!B37*'3.2'!B127/100</f>
        <v>2815459.883670521</v>
      </c>
      <c r="D127" s="311">
        <f>'3.1'!C37*'3.2'!B127/100</f>
        <v>7502670.445693641</v>
      </c>
      <c r="E127" s="311">
        <f>'3.1'!D37*'3.2'!B127/100</f>
        <v>300261.6834971098</v>
      </c>
      <c r="F127" s="311">
        <f>'3.1'!E37*'3.2'!B127/100</f>
        <v>2756.4414450867057</v>
      </c>
      <c r="G127" s="365">
        <f>SUM(C127:F127)</f>
        <v>10621148.454306358</v>
      </c>
    </row>
    <row r="128" spans="1:7" s="264" customFormat="1" ht="24.75" thickBot="1">
      <c r="A128" s="320"/>
      <c r="B128" s="314"/>
      <c r="C128" s="349">
        <f>SUM(C127)</f>
        <v>2815459.883670521</v>
      </c>
      <c r="D128" s="349">
        <f>SUM(D127)</f>
        <v>7502670.445693641</v>
      </c>
      <c r="E128" s="349">
        <f>SUM(E127)</f>
        <v>300261.6834971098</v>
      </c>
      <c r="F128" s="349">
        <f>SUM(F127)</f>
        <v>2756.4414450867057</v>
      </c>
      <c r="G128" s="349">
        <f>SUM(G127)</f>
        <v>10621148.454306358</v>
      </c>
    </row>
    <row r="129" spans="1:7" s="264" customFormat="1" ht="24.75" thickTop="1">
      <c r="A129" s="316" t="s">
        <v>499</v>
      </c>
      <c r="B129" s="317"/>
      <c r="C129" s="374"/>
      <c r="D129" s="374"/>
      <c r="E129" s="374"/>
      <c r="F129" s="374"/>
      <c r="G129" s="374"/>
    </row>
    <row r="130" spans="1:7" s="264" customFormat="1">
      <c r="A130" s="319" t="s">
        <v>397</v>
      </c>
      <c r="B130" s="256">
        <v>100</v>
      </c>
      <c r="C130" s="311">
        <f>'3.1'!B38*'3.2'!B130/100</f>
        <v>2005225.578410405</v>
      </c>
      <c r="D130" s="311">
        <f>'3.1'!C38*'3.2'!B130/100</f>
        <v>5997709.0088728312</v>
      </c>
      <c r="E130" s="311">
        <f>'3.1'!D38*'3.2'!B130/100</f>
        <v>233536.86494219652</v>
      </c>
      <c r="F130" s="311">
        <f>'3.1'!E38*'3.2'!B130/100</f>
        <v>2143.8989017341041</v>
      </c>
      <c r="G130" s="365">
        <f>SUM(C130:F130)</f>
        <v>8238615.3511271672</v>
      </c>
    </row>
    <row r="131" spans="1:7" s="264" customFormat="1" ht="24.75" thickBot="1">
      <c r="A131" s="320"/>
      <c r="B131" s="375"/>
      <c r="C131" s="349">
        <f>SUM(C130)</f>
        <v>2005225.578410405</v>
      </c>
      <c r="D131" s="349">
        <f>SUM(D130)</f>
        <v>5997709.0088728312</v>
      </c>
      <c r="E131" s="349">
        <f>SUM(E130)</f>
        <v>233536.86494219652</v>
      </c>
      <c r="F131" s="349">
        <f>SUM(F130)</f>
        <v>2143.8989017341041</v>
      </c>
      <c r="G131" s="349">
        <f>SUM(G130)</f>
        <v>8238615.3511271672</v>
      </c>
    </row>
    <row r="132" spans="1:7" s="264" customFormat="1" ht="24.75" thickTop="1">
      <c r="A132" s="316" t="s">
        <v>500</v>
      </c>
      <c r="B132" s="317"/>
      <c r="C132" s="374"/>
      <c r="D132" s="374"/>
      <c r="E132" s="374"/>
      <c r="F132" s="374"/>
      <c r="G132" s="374"/>
    </row>
    <row r="133" spans="1:7" s="264" customFormat="1">
      <c r="A133" s="319" t="s">
        <v>398</v>
      </c>
      <c r="B133" s="256">
        <v>50</v>
      </c>
      <c r="C133" s="311">
        <f>'3.1'!B39*'3.2'!B133/100</f>
        <v>511958.4489450868</v>
      </c>
      <c r="D133" s="311">
        <f>'3.1'!C39*'3.2'!B133/100</f>
        <v>1255515.0676156073</v>
      </c>
      <c r="E133" s="311">
        <f>'3.1'!D39*'3.2'!B133/100</f>
        <v>50043.613916184964</v>
      </c>
      <c r="F133" s="311">
        <f>'3.1'!E39*'3.2'!B133/100</f>
        <v>459.40690751445089</v>
      </c>
      <c r="G133" s="365">
        <f>SUM(C133:F133)</f>
        <v>1817976.5373843936</v>
      </c>
    </row>
    <row r="134" spans="1:7" s="264" customFormat="1">
      <c r="A134" s="319" t="s">
        <v>399</v>
      </c>
      <c r="B134" s="256">
        <v>50</v>
      </c>
      <c r="C134" s="311">
        <f>'3.1'!B39*'3.2'!B134/100</f>
        <v>511958.4489450868</v>
      </c>
      <c r="D134" s="311">
        <f>'3.1'!C39*'3.2'!B134/100</f>
        <v>1255515.0676156073</v>
      </c>
      <c r="E134" s="311">
        <f>'3.1'!D39*'3.2'!B134/100</f>
        <v>50043.613916184964</v>
      </c>
      <c r="F134" s="311">
        <f>'3.1'!E39*'3.2'!B134/100</f>
        <v>459.40690751445089</v>
      </c>
      <c r="G134" s="365">
        <f>SUM(C134:F134)</f>
        <v>1817976.5373843936</v>
      </c>
    </row>
    <row r="135" spans="1:7" s="264" customFormat="1" ht="24.75" thickBot="1">
      <c r="A135" s="320"/>
      <c r="B135" s="375"/>
      <c r="C135" s="349">
        <f>SUM(C133:C134)</f>
        <v>1023916.8978901736</v>
      </c>
      <c r="D135" s="349">
        <f>SUM(D133:D134)</f>
        <v>2511030.1352312146</v>
      </c>
      <c r="E135" s="349">
        <f>SUM(E133:E134)</f>
        <v>100087.22783236993</v>
      </c>
      <c r="F135" s="349">
        <f>SUM(F133:F134)</f>
        <v>918.81381502890179</v>
      </c>
      <c r="G135" s="349">
        <f>SUM(G133:G134)</f>
        <v>3635953.0747687872</v>
      </c>
    </row>
    <row r="136" spans="1:7" s="264" customFormat="1" ht="24.75" thickTop="1">
      <c r="A136" s="258" t="s">
        <v>1537</v>
      </c>
      <c r="B136" s="317"/>
      <c r="C136" s="374"/>
      <c r="D136" s="374"/>
      <c r="E136" s="374"/>
      <c r="F136" s="374"/>
      <c r="G136" s="374"/>
    </row>
    <row r="137" spans="1:7" s="264" customFormat="1">
      <c r="A137" s="319" t="s">
        <v>400</v>
      </c>
      <c r="B137" s="256">
        <v>20</v>
      </c>
      <c r="C137" s="311">
        <f>'3.1'!B40*'3.2'!B137/100</f>
        <v>318461.16368208098</v>
      </c>
      <c r="D137" s="311">
        <f>'3.1'!C40*'3.2'!B137/100</f>
        <v>1248088.5897745662</v>
      </c>
      <c r="E137" s="311">
        <f>'3.1'!D40*'3.2'!B137/100</f>
        <v>46707.372988439303</v>
      </c>
      <c r="F137" s="311">
        <f>'3.1'!E40*'3.2'!B137/100</f>
        <v>428.77978034682087</v>
      </c>
      <c r="G137" s="365">
        <f>SUM(C137:F137)</f>
        <v>1613685.9062254336</v>
      </c>
    </row>
    <row r="138" spans="1:7" s="264" customFormat="1">
      <c r="A138" s="319" t="s">
        <v>401</v>
      </c>
      <c r="B138" s="256">
        <v>40</v>
      </c>
      <c r="C138" s="311">
        <f>'3.1'!B40*'3.2'!B138/100</f>
        <v>636922.32736416196</v>
      </c>
      <c r="D138" s="311">
        <f>'3.1'!C40*'3.2'!B138/100</f>
        <v>2496177.1795491325</v>
      </c>
      <c r="E138" s="311">
        <f>'3.1'!D40*'3.2'!B138/100</f>
        <v>93414.745976878607</v>
      </c>
      <c r="F138" s="311">
        <f>'3.1'!E40*'3.2'!B138/100</f>
        <v>857.55956069364174</v>
      </c>
      <c r="G138" s="365">
        <f>SUM(C138:F138)</f>
        <v>3227371.8124508671</v>
      </c>
    </row>
    <row r="139" spans="1:7" s="264" customFormat="1">
      <c r="A139" s="252" t="s">
        <v>1533</v>
      </c>
      <c r="B139" s="460">
        <v>40</v>
      </c>
      <c r="C139" s="311">
        <f>'3.1'!B40*'3.2'!B139/100</f>
        <v>636922.32736416196</v>
      </c>
      <c r="D139" s="311">
        <f>'3.1'!C40*'3.2'!B139/100</f>
        <v>2496177.1795491325</v>
      </c>
      <c r="E139" s="311">
        <f>'3.1'!D40*'3.2'!B139/100</f>
        <v>93414.745976878607</v>
      </c>
      <c r="F139" s="311">
        <f>'3.1'!E40*'3.2'!B139/100</f>
        <v>857.55956069364174</v>
      </c>
      <c r="G139" s="365">
        <f>SUM(C139:F139)</f>
        <v>3227371.8124508671</v>
      </c>
    </row>
    <row r="140" spans="1:7" s="264" customFormat="1" ht="24.75" thickBot="1">
      <c r="A140" s="320"/>
      <c r="B140" s="375"/>
      <c r="C140" s="349">
        <f>SUM(C137:C139)</f>
        <v>1592305.818410405</v>
      </c>
      <c r="D140" s="349">
        <f t="shared" ref="D140:G140" si="1">SUM(D137:D139)</f>
        <v>6240442.9488728307</v>
      </c>
      <c r="E140" s="349">
        <f t="shared" si="1"/>
        <v>233536.86494219652</v>
      </c>
      <c r="F140" s="349">
        <f t="shared" si="1"/>
        <v>2143.8989017341046</v>
      </c>
      <c r="G140" s="349">
        <f t="shared" si="1"/>
        <v>8068429.5311271679</v>
      </c>
    </row>
    <row r="141" spans="1:7" s="264" customFormat="1" ht="24.75" thickTop="1">
      <c r="A141" s="316" t="s">
        <v>501</v>
      </c>
      <c r="B141" s="317"/>
      <c r="C141" s="374"/>
      <c r="D141" s="374"/>
      <c r="E141" s="374"/>
      <c r="F141" s="374"/>
      <c r="G141" s="374"/>
    </row>
    <row r="142" spans="1:7" s="264" customFormat="1">
      <c r="A142" s="319" t="s">
        <v>402</v>
      </c>
      <c r="B142" s="256">
        <v>100</v>
      </c>
      <c r="C142" s="311">
        <f>'3.1'!B41*'3.2'!B142/100</f>
        <v>516919.31263005786</v>
      </c>
      <c r="D142" s="311">
        <f>'3.1'!C41*'3.2'!B142/100</f>
        <v>891764.69841040473</v>
      </c>
      <c r="E142" s="311">
        <f>'3.1'!D41*'3.2'!B142/100</f>
        <v>33362.409277456645</v>
      </c>
      <c r="F142" s="311">
        <f>'3.1'!E41*'3.2'!B142/100</f>
        <v>306.27127167630056</v>
      </c>
      <c r="G142" s="365">
        <f>SUM(C142:F142)</f>
        <v>1442352.6915895955</v>
      </c>
    </row>
    <row r="143" spans="1:7" s="264" customFormat="1" ht="24.75" thickBot="1">
      <c r="A143" s="320"/>
      <c r="B143" s="375"/>
      <c r="C143" s="349">
        <f>SUM(C142)</f>
        <v>516919.31263005786</v>
      </c>
      <c r="D143" s="349">
        <f>SUM(D142)</f>
        <v>891764.69841040473</v>
      </c>
      <c r="E143" s="349">
        <f>SUM(E142)</f>
        <v>33362.409277456645</v>
      </c>
      <c r="F143" s="349">
        <f>SUM(F142)</f>
        <v>306.27127167630056</v>
      </c>
      <c r="G143" s="349">
        <f>SUM(G142)</f>
        <v>1442352.6915895955</v>
      </c>
    </row>
    <row r="144" spans="1:7" s="264" customFormat="1" ht="24.75" thickTop="1">
      <c r="A144" s="316" t="s">
        <v>293</v>
      </c>
      <c r="B144" s="317"/>
      <c r="C144" s="374"/>
      <c r="D144" s="374"/>
      <c r="E144" s="374"/>
      <c r="F144" s="374"/>
      <c r="G144" s="374"/>
    </row>
    <row r="145" spans="1:7" s="264" customFormat="1">
      <c r="A145" s="376" t="s">
        <v>403</v>
      </c>
      <c r="B145" s="256">
        <v>100</v>
      </c>
      <c r="C145" s="311">
        <f>'3.1'!B42*'3.2'!B145/100</f>
        <v>497701.81526011566</v>
      </c>
      <c r="D145" s="311">
        <f>'3.1'!C42*'3.2'!B145/100</f>
        <v>1632442.5368208096</v>
      </c>
      <c r="E145" s="311">
        <f>'3.1'!D42*'3.2'!B145/100</f>
        <v>66724.81855491329</v>
      </c>
      <c r="F145" s="311">
        <f>'3.1'!E42*'3.2'!B145/100</f>
        <v>612.54254335260111</v>
      </c>
      <c r="G145" s="365">
        <f>SUM(C145:F145)</f>
        <v>2197481.7131791911</v>
      </c>
    </row>
    <row r="146" spans="1:7" s="264" customFormat="1" ht="24.75" thickBot="1">
      <c r="A146" s="320"/>
      <c r="B146" s="314"/>
      <c r="C146" s="349">
        <f>SUM(C145)</f>
        <v>497701.81526011566</v>
      </c>
      <c r="D146" s="349">
        <f>SUM(D145)</f>
        <v>1632442.5368208096</v>
      </c>
      <c r="E146" s="349">
        <f>SUM(E145)</f>
        <v>66724.81855491329</v>
      </c>
      <c r="F146" s="349">
        <f>SUM(F145)</f>
        <v>612.54254335260111</v>
      </c>
      <c r="G146" s="349">
        <f>SUM(G145)</f>
        <v>2197481.7131791911</v>
      </c>
    </row>
    <row r="147" spans="1:7" s="264" customFormat="1" ht="24.75" thickTop="1">
      <c r="A147" s="373"/>
      <c r="B147" s="324"/>
      <c r="C147" s="355"/>
      <c r="D147" s="355"/>
      <c r="E147" s="355"/>
      <c r="F147" s="355"/>
      <c r="G147" s="355"/>
    </row>
    <row r="148" spans="1:7" s="264" customFormat="1">
      <c r="A148" s="938" t="s">
        <v>294</v>
      </c>
      <c r="B148" s="309"/>
      <c r="C148" s="471"/>
      <c r="D148" s="471"/>
      <c r="E148" s="471"/>
      <c r="F148" s="471"/>
      <c r="G148" s="472"/>
    </row>
    <row r="149" spans="1:7" s="264" customFormat="1" ht="48">
      <c r="A149" s="377" t="s">
        <v>404</v>
      </c>
      <c r="B149" s="256">
        <v>100</v>
      </c>
      <c r="C149" s="311">
        <f>'3.1'!B43*'3.2'!B149/100</f>
        <v>769761.81526011566</v>
      </c>
      <c r="D149" s="311">
        <f>'3.1'!C43*'3.2'!B149/100</f>
        <v>1603116.4068208095</v>
      </c>
      <c r="E149" s="311">
        <f>'3.1'!D43*'3.2'!B149/100</f>
        <v>66724.81855491329</v>
      </c>
      <c r="F149" s="311">
        <f>'3.1'!E43*'3.2'!B149/100</f>
        <v>612.54254335260111</v>
      </c>
      <c r="G149" s="365">
        <f>SUM(C149:F149)</f>
        <v>2440215.5831791908</v>
      </c>
    </row>
    <row r="150" spans="1:7" s="264" customFormat="1" ht="24.75" thickBot="1">
      <c r="A150" s="320"/>
      <c r="B150" s="314"/>
      <c r="C150" s="349">
        <f>SUM(C149)</f>
        <v>769761.81526011566</v>
      </c>
      <c r="D150" s="349">
        <f>SUM(D149)</f>
        <v>1603116.4068208095</v>
      </c>
      <c r="E150" s="349">
        <f>SUM(E149)</f>
        <v>66724.81855491329</v>
      </c>
      <c r="F150" s="349">
        <f>SUM(F149)</f>
        <v>612.54254335260111</v>
      </c>
      <c r="G150" s="349">
        <f>SUM(G149)</f>
        <v>2440215.5831791908</v>
      </c>
    </row>
    <row r="151" spans="1:7" s="264" customFormat="1" ht="24.75" thickTop="1">
      <c r="A151" s="328" t="s">
        <v>343</v>
      </c>
      <c r="B151" s="329"/>
      <c r="C151" s="358"/>
      <c r="D151" s="358"/>
      <c r="E151" s="358"/>
      <c r="F151" s="358"/>
      <c r="G151" s="366"/>
    </row>
    <row r="152" spans="1:7" s="264" customFormat="1">
      <c r="A152" s="331" t="s">
        <v>405</v>
      </c>
      <c r="B152" s="256">
        <v>100</v>
      </c>
      <c r="C152" s="311">
        <f>'3.1'!B44*'3.2'!B152/100</f>
        <v>531368.1205202312</v>
      </c>
      <c r="D152" s="311">
        <f>'3.1'!C44*'3.2'!B152/100</f>
        <v>3545676.0736416192</v>
      </c>
      <c r="E152" s="311">
        <f>'3.1'!D44*'3.2'!B152/100</f>
        <v>133449.63710982658</v>
      </c>
      <c r="F152" s="311">
        <f>'3.1'!E44*'3.2'!B152/100</f>
        <v>1225.0850867052022</v>
      </c>
      <c r="G152" s="365">
        <f>SUM(C152:F152)</f>
        <v>4211718.9163583824</v>
      </c>
    </row>
    <row r="153" spans="1:7" s="264" customFormat="1" ht="24.75" thickBot="1">
      <c r="A153" s="320"/>
      <c r="B153" s="314"/>
      <c r="C153" s="349">
        <f>SUM(C152)</f>
        <v>531368.1205202312</v>
      </c>
      <c r="D153" s="349">
        <f>SUM(D152)</f>
        <v>3545676.0736416192</v>
      </c>
      <c r="E153" s="349">
        <f>SUM(E152)</f>
        <v>133449.63710982658</v>
      </c>
      <c r="F153" s="349">
        <f>SUM(F152)</f>
        <v>1225.0850867052022</v>
      </c>
      <c r="G153" s="349">
        <f>SUM(G152)</f>
        <v>4211718.9163583824</v>
      </c>
    </row>
    <row r="154" spans="1:7" s="264" customFormat="1" ht="24.75" thickTop="1">
      <c r="A154" s="332" t="s">
        <v>344</v>
      </c>
      <c r="B154" s="329"/>
      <c r="C154" s="358"/>
      <c r="D154" s="358"/>
      <c r="E154" s="358"/>
      <c r="F154" s="358"/>
      <c r="G154" s="366"/>
    </row>
    <row r="155" spans="1:7" s="264" customFormat="1">
      <c r="A155" s="378" t="s">
        <v>406</v>
      </c>
      <c r="B155" s="256">
        <v>100</v>
      </c>
      <c r="C155" s="311">
        <f>'3.1'!B45*'3.2'!B155/100</f>
        <v>531368.1205202312</v>
      </c>
      <c r="D155" s="311">
        <f>'3.1'!C45*'3.2'!B155/100</f>
        <v>3736622.603641619</v>
      </c>
      <c r="E155" s="311">
        <f>'3.1'!D45*'3.2'!B155/100</f>
        <v>133449.63710982658</v>
      </c>
      <c r="F155" s="311">
        <f>'3.1'!E45*'3.2'!B155/100</f>
        <v>1225.0850867052022</v>
      </c>
      <c r="G155" s="365">
        <f>SUM(C155:F155)</f>
        <v>4402665.4463583818</v>
      </c>
    </row>
    <row r="156" spans="1:7" s="264" customFormat="1" ht="24.75" thickBot="1">
      <c r="A156" s="379"/>
      <c r="B156" s="314"/>
      <c r="C156" s="349">
        <f>SUM(C155)</f>
        <v>531368.1205202312</v>
      </c>
      <c r="D156" s="349">
        <f>SUM(D155)</f>
        <v>3736622.603641619</v>
      </c>
      <c r="E156" s="349">
        <f>SUM(E155)</f>
        <v>133449.63710982658</v>
      </c>
      <c r="F156" s="349">
        <f>SUM(F155)</f>
        <v>1225.0850867052022</v>
      </c>
      <c r="G156" s="349">
        <f>SUM(G155)</f>
        <v>4402665.4463583818</v>
      </c>
    </row>
    <row r="157" spans="1:7" s="264" customFormat="1" ht="24.75" thickTop="1">
      <c r="A157" s="159" t="s">
        <v>1538</v>
      </c>
      <c r="B157" s="317"/>
      <c r="C157" s="360"/>
      <c r="D157" s="360"/>
      <c r="E157" s="360"/>
      <c r="F157" s="360"/>
      <c r="G157" s="374"/>
    </row>
    <row r="158" spans="1:7" s="264" customFormat="1">
      <c r="A158" s="319" t="s">
        <v>407</v>
      </c>
      <c r="B158" s="256">
        <v>60</v>
      </c>
      <c r="C158" s="311">
        <f>'3.1'!B46*'3.2'!B158/100</f>
        <v>548422.87231213879</v>
      </c>
      <c r="D158" s="311">
        <f>'3.1'!C46*'3.2'!B158/100</f>
        <v>2222674.7061849711</v>
      </c>
      <c r="E158" s="311">
        <f>'3.1'!D46*'3.2'!B158/100</f>
        <v>80069.782265895949</v>
      </c>
      <c r="F158" s="311">
        <f>'3.1'!E46*'3.2'!B158/100</f>
        <v>735.05105202312131</v>
      </c>
      <c r="G158" s="365">
        <f>SUM(C158:F158)</f>
        <v>2851902.4118150291</v>
      </c>
    </row>
    <row r="159" spans="1:7" s="264" customFormat="1">
      <c r="A159" s="319" t="s">
        <v>408</v>
      </c>
      <c r="B159" s="256">
        <v>40</v>
      </c>
      <c r="C159" s="311">
        <f>'3.1'!B46*'3.2'!B159/100</f>
        <v>365615.24820809253</v>
      </c>
      <c r="D159" s="311">
        <f>'3.1'!C46*'3.2'!B159/100</f>
        <v>1481783.1374566474</v>
      </c>
      <c r="E159" s="311">
        <f>'3.1'!D46*'3.2'!B159/100</f>
        <v>53379.854843930632</v>
      </c>
      <c r="F159" s="311">
        <f>'3.1'!E46*'3.2'!B159/100</f>
        <v>490.03403468208091</v>
      </c>
      <c r="G159" s="365">
        <f>SUM(C159:F159)</f>
        <v>1901268.2745433524</v>
      </c>
    </row>
    <row r="160" spans="1:7" s="264" customFormat="1" ht="24.75" thickBot="1">
      <c r="A160" s="320"/>
      <c r="B160" s="314"/>
      <c r="C160" s="349">
        <f>SUM(C158:C159)</f>
        <v>914038.12052023131</v>
      </c>
      <c r="D160" s="349">
        <f>SUM(D158:D159)</f>
        <v>3704457.8436416183</v>
      </c>
      <c r="E160" s="349">
        <f>SUM(E158:E159)</f>
        <v>133449.63710982658</v>
      </c>
      <c r="F160" s="349">
        <f>SUM(F158:F159)</f>
        <v>1225.0850867052022</v>
      </c>
      <c r="G160" s="349">
        <f>SUM(G158:G159)</f>
        <v>4753170.6863583811</v>
      </c>
    </row>
    <row r="161" spans="1:7" s="264" customFormat="1" ht="24.75" thickTop="1">
      <c r="A161" s="316" t="s">
        <v>346</v>
      </c>
      <c r="B161" s="317"/>
      <c r="C161" s="360"/>
      <c r="D161" s="360"/>
      <c r="E161" s="360"/>
      <c r="F161" s="360"/>
      <c r="G161" s="374"/>
    </row>
    <row r="162" spans="1:7" s="264" customFormat="1">
      <c r="A162" s="380" t="s">
        <v>1493</v>
      </c>
      <c r="B162" s="256">
        <v>35</v>
      </c>
      <c r="C162" s="311">
        <f>'3.1'!B47*'3.2'!B162/100</f>
        <v>723466.4627052024</v>
      </c>
      <c r="D162" s="311">
        <f>'3.1'!C47*'3.2'!B162/100</f>
        <v>2947433.4904364161</v>
      </c>
      <c r="E162" s="311">
        <f>'3.1'!D47*'3.2'!B162/100</f>
        <v>116768.43247109825</v>
      </c>
      <c r="F162" s="311">
        <f>'3.1'!E47*'3.2'!B162/100</f>
        <v>1071.9494508670521</v>
      </c>
      <c r="G162" s="365">
        <f>SUM(C162:F162)</f>
        <v>3788740.3350635841</v>
      </c>
    </row>
    <row r="163" spans="1:7" s="264" customFormat="1">
      <c r="A163" s="331" t="s">
        <v>1494</v>
      </c>
      <c r="B163" s="256">
        <v>35</v>
      </c>
      <c r="C163" s="311">
        <f>'3.1'!B47*'3.2'!B163/100</f>
        <v>723466.4627052024</v>
      </c>
      <c r="D163" s="311">
        <f>'3.1'!C47*'3.2'!B163/100</f>
        <v>2947433.4904364161</v>
      </c>
      <c r="E163" s="311">
        <f>'3.1'!D47*'3.2'!B163/100</f>
        <v>116768.43247109825</v>
      </c>
      <c r="F163" s="311">
        <f>'3.1'!E47*'3.2'!B163/100</f>
        <v>1071.9494508670521</v>
      </c>
      <c r="G163" s="365">
        <f>SUM(C163:F163)</f>
        <v>3788740.3350635841</v>
      </c>
    </row>
    <row r="164" spans="1:7" s="264" customFormat="1">
      <c r="A164" s="259" t="s">
        <v>1495</v>
      </c>
      <c r="B164" s="256">
        <v>30</v>
      </c>
      <c r="C164" s="311">
        <f>'3.1'!B47*'3.2'!B164/100</f>
        <v>620114.11089017347</v>
      </c>
      <c r="D164" s="311">
        <f>'3.1'!C47*'3.2'!B164/100</f>
        <v>2526371.5632312144</v>
      </c>
      <c r="E164" s="311">
        <f>'3.1'!D47*'3.2'!B164/100</f>
        <v>100087.22783236993</v>
      </c>
      <c r="F164" s="311">
        <f>'3.1'!E47*'3.2'!B164/100</f>
        <v>918.81381502890179</v>
      </c>
      <c r="G164" s="365">
        <f>SUM(C164:F164)</f>
        <v>3247491.7157687866</v>
      </c>
    </row>
    <row r="165" spans="1:7" s="264" customFormat="1" ht="24.75" thickBot="1">
      <c r="A165" s="320"/>
      <c r="B165" s="314"/>
      <c r="C165" s="349">
        <f>SUM(C162:C164)</f>
        <v>2067047.0363005782</v>
      </c>
      <c r="D165" s="349">
        <f>SUM(D162:D164)</f>
        <v>8421238.5441040471</v>
      </c>
      <c r="E165" s="349">
        <f>SUM(E162:E164)</f>
        <v>333624.09277456644</v>
      </c>
      <c r="F165" s="349">
        <f>SUM(F162:F164)</f>
        <v>3062.712716763006</v>
      </c>
      <c r="G165" s="349">
        <f>SUM(G162:G164)</f>
        <v>10824972.385895954</v>
      </c>
    </row>
    <row r="166" spans="1:7" s="264" customFormat="1" ht="24.75" thickTop="1">
      <c r="A166" s="316" t="s">
        <v>347</v>
      </c>
      <c r="B166" s="317"/>
      <c r="C166" s="360"/>
      <c r="D166" s="360"/>
      <c r="E166" s="360"/>
      <c r="F166" s="360"/>
      <c r="G166" s="374"/>
    </row>
    <row r="167" spans="1:7" s="264" customFormat="1">
      <c r="A167" s="267" t="s">
        <v>409</v>
      </c>
      <c r="B167" s="256">
        <v>100</v>
      </c>
      <c r="C167" s="311">
        <f>'3.1'!B48*'3.2'!B167/100</f>
        <v>908028.12052023131</v>
      </c>
      <c r="D167" s="311">
        <f>'3.1'!C48*'3.2'!B167/100</f>
        <v>3399225.9736416191</v>
      </c>
      <c r="E167" s="311">
        <f>'3.1'!D48*'3.2'!B167/100</f>
        <v>133449.63710982658</v>
      </c>
      <c r="F167" s="311">
        <f>'3.1'!E48*'3.2'!B167/100</f>
        <v>1225.0850867052022</v>
      </c>
      <c r="G167" s="365">
        <f>SUM(C167:F167)</f>
        <v>4441928.8163583819</v>
      </c>
    </row>
    <row r="168" spans="1:7" s="264" customFormat="1" ht="24.75" thickBot="1">
      <c r="A168" s="320"/>
      <c r="B168" s="314"/>
      <c r="C168" s="349">
        <f>SUM(C167)</f>
        <v>908028.12052023131</v>
      </c>
      <c r="D168" s="349">
        <f>SUM(D167)</f>
        <v>3399225.9736416191</v>
      </c>
      <c r="E168" s="349">
        <f>SUM(E167)</f>
        <v>133449.63710982658</v>
      </c>
      <c r="F168" s="349">
        <f>SUM(F167)</f>
        <v>1225.0850867052022</v>
      </c>
      <c r="G168" s="349">
        <f>SUM(G167)</f>
        <v>4441928.8163583819</v>
      </c>
    </row>
    <row r="169" spans="1:7" s="264" customFormat="1" ht="24.75" thickTop="1">
      <c r="A169" s="316" t="s">
        <v>1498</v>
      </c>
      <c r="B169" s="317"/>
      <c r="C169" s="374"/>
      <c r="D169" s="374"/>
      <c r="E169" s="374"/>
      <c r="F169" s="374"/>
      <c r="G169" s="374"/>
    </row>
    <row r="170" spans="1:7">
      <c r="A170" s="381" t="s">
        <v>1506</v>
      </c>
      <c r="B170" s="256">
        <v>100</v>
      </c>
      <c r="C170" s="311">
        <f>'3.1'!B49*'3.2'!B170/100</f>
        <v>674054.96789017355</v>
      </c>
      <c r="D170" s="311">
        <f>'3.1'!C49*'3.2'!B170/100</f>
        <v>2509327.6252312143</v>
      </c>
      <c r="E170" s="311">
        <f>'3.1'!D49*'3.2'!B170/100</f>
        <v>100087.22783236993</v>
      </c>
      <c r="F170" s="311">
        <f>'3.1'!E49*'3.2'!B170/100</f>
        <v>918.81381502890179</v>
      </c>
      <c r="G170" s="276">
        <f>SUM(C170:F170)</f>
        <v>3284388.6347687868</v>
      </c>
    </row>
    <row r="171" spans="1:7" s="264" customFormat="1" ht="24.75" thickBot="1">
      <c r="A171" s="320"/>
      <c r="B171" s="314"/>
      <c r="C171" s="349">
        <f>SUM(C170)</f>
        <v>674054.96789017355</v>
      </c>
      <c r="D171" s="349">
        <f>SUM(D170)</f>
        <v>2509327.6252312143</v>
      </c>
      <c r="E171" s="349">
        <f>SUM(E170)</f>
        <v>100087.22783236993</v>
      </c>
      <c r="F171" s="349">
        <f>SUM(F170)</f>
        <v>918.81381502890179</v>
      </c>
      <c r="G171" s="350">
        <f>SUM(G170)</f>
        <v>3284388.6347687868</v>
      </c>
    </row>
    <row r="172" spans="1:7" ht="24.75" thickTop="1">
      <c r="A172" s="316" t="s">
        <v>1535</v>
      </c>
      <c r="B172" s="317"/>
      <c r="C172" s="360"/>
      <c r="D172" s="360"/>
      <c r="E172" s="360"/>
      <c r="F172" s="360"/>
      <c r="G172" s="361"/>
    </row>
    <row r="173" spans="1:7">
      <c r="A173" s="382" t="s">
        <v>1508</v>
      </c>
      <c r="B173" s="256">
        <v>100</v>
      </c>
      <c r="C173" s="311">
        <f>'3.1'!B50*'3.2'!B173/100</f>
        <v>1177684.9678901734</v>
      </c>
      <c r="D173" s="311">
        <f>'3.1'!C50*'3.2'!B173/100</f>
        <v>2289021.1252312143</v>
      </c>
      <c r="E173" s="311">
        <f>'3.1'!D50*'3.2'!B173/100</f>
        <v>100087.22783236993</v>
      </c>
      <c r="F173" s="311">
        <f>'3.1'!E50*'3.2'!B173/100</f>
        <v>918.81381502890179</v>
      </c>
      <c r="G173" s="276">
        <f>SUM(C173:F173)</f>
        <v>3567712.1347687868</v>
      </c>
    </row>
    <row r="174" spans="1:7" s="264" customFormat="1" ht="24.75" thickBot="1">
      <c r="A174" s="320"/>
      <c r="B174" s="314"/>
      <c r="C174" s="349">
        <f>SUM(C173)</f>
        <v>1177684.9678901734</v>
      </c>
      <c r="D174" s="349">
        <f>SUM(D173)</f>
        <v>2289021.1252312143</v>
      </c>
      <c r="E174" s="349">
        <f>SUM(E173)</f>
        <v>100087.22783236993</v>
      </c>
      <c r="F174" s="349">
        <f>SUM(F173)</f>
        <v>918.81381502890179</v>
      </c>
      <c r="G174" s="350">
        <f>SUM(G173)</f>
        <v>3567712.1347687868</v>
      </c>
    </row>
    <row r="175" spans="1:7" s="264" customFormat="1" ht="24.75" thickTop="1">
      <c r="A175" s="939"/>
      <c r="B175" s="940"/>
      <c r="C175" s="941"/>
      <c r="D175" s="941"/>
      <c r="E175" s="941"/>
      <c r="F175" s="941"/>
      <c r="G175" s="942"/>
    </row>
    <row r="176" spans="1:7">
      <c r="A176" s="328" t="s">
        <v>1499</v>
      </c>
      <c r="B176" s="329"/>
      <c r="C176" s="384"/>
      <c r="D176" s="384"/>
      <c r="E176" s="384"/>
      <c r="F176" s="384"/>
      <c r="G176" s="263"/>
    </row>
    <row r="177" spans="1:7">
      <c r="A177" s="331" t="s">
        <v>1509</v>
      </c>
      <c r="B177" s="256">
        <v>70</v>
      </c>
      <c r="C177" s="311">
        <f>'3.1'!B51*'3.2'!B177/100</f>
        <v>1361028.4980462429</v>
      </c>
      <c r="D177" s="311">
        <f>'3.1'!C51*'3.2'!B177/100</f>
        <v>4208716.0503237005</v>
      </c>
      <c r="E177" s="311">
        <f>'3.1'!D51*'3.2'!B177/100</f>
        <v>140122.11896531793</v>
      </c>
      <c r="F177" s="311">
        <f>'3.1'!E51*'3.2'!B177/100</f>
        <v>1286.3393410404624</v>
      </c>
      <c r="G177" s="276">
        <f>SUM(C177:F177)</f>
        <v>5711153.0066763014</v>
      </c>
    </row>
    <row r="178" spans="1:7">
      <c r="A178" s="367" t="s">
        <v>1510</v>
      </c>
      <c r="B178" s="256">
        <v>30</v>
      </c>
      <c r="C178" s="311">
        <f>'3.1'!B51*'3.2'!B178/100</f>
        <v>583297.9277341041</v>
      </c>
      <c r="D178" s="311">
        <f>'3.1'!C51*'3.2'!B178/100</f>
        <v>1803735.4501387286</v>
      </c>
      <c r="E178" s="311">
        <f>'3.1'!D51*'3.2'!B178/100</f>
        <v>60052.336699421961</v>
      </c>
      <c r="F178" s="311">
        <f>'3.1'!E51*'3.2'!B178/100</f>
        <v>551.28828901734107</v>
      </c>
      <c r="G178" s="276">
        <f>SUM(C178:F178)</f>
        <v>2447637.0028612721</v>
      </c>
    </row>
    <row r="179" spans="1:7" s="264" customFormat="1" ht="24.75" thickBot="1">
      <c r="A179" s="320"/>
      <c r="B179" s="314"/>
      <c r="C179" s="349">
        <f>SUM(C177:C178)</f>
        <v>1944326.4257803471</v>
      </c>
      <c r="D179" s="349">
        <f>SUM(D177:D178)</f>
        <v>6012451.5004624296</v>
      </c>
      <c r="E179" s="349">
        <f>SUM(E177:E178)</f>
        <v>200174.45566473989</v>
      </c>
      <c r="F179" s="349">
        <f>SUM(F177:F178)</f>
        <v>1837.6276300578033</v>
      </c>
      <c r="G179" s="350">
        <f>SUM(G177:G178)</f>
        <v>8158790.0095375739</v>
      </c>
    </row>
    <row r="180" spans="1:7" s="264" customFormat="1" ht="24.75" thickTop="1">
      <c r="A180" s="362" t="s">
        <v>1500</v>
      </c>
      <c r="B180" s="318"/>
      <c r="C180" s="374"/>
      <c r="D180" s="374"/>
      <c r="E180" s="374"/>
      <c r="F180" s="374"/>
      <c r="G180" s="361"/>
    </row>
    <row r="181" spans="1:7" s="264" customFormat="1">
      <c r="A181" s="267" t="s">
        <v>1511</v>
      </c>
      <c r="B181" s="310">
        <v>100</v>
      </c>
      <c r="C181" s="311">
        <f>'3.1'!B52*'3.2'!B181/100</f>
        <v>1707035.8705202311</v>
      </c>
      <c r="D181" s="311">
        <f>'3.1'!C52*'3.2'!B181/100</f>
        <v>2886456.8436416183</v>
      </c>
      <c r="E181" s="311">
        <f>'3.1'!D52*'3.2'!B181/100</f>
        <v>133449.63710982658</v>
      </c>
      <c r="F181" s="311">
        <f>'3.1'!E52*'3.2'!B181/100</f>
        <v>1225.0850867052022</v>
      </c>
      <c r="G181" s="311">
        <f>SUM(C181:F181)</f>
        <v>4728167.4363583811</v>
      </c>
    </row>
    <row r="182" spans="1:7" s="264" customFormat="1" ht="24.75" thickBot="1">
      <c r="A182" s="320"/>
      <c r="B182" s="314"/>
      <c r="C182" s="349">
        <f>SUM(C181)</f>
        <v>1707035.8705202311</v>
      </c>
      <c r="D182" s="349">
        <f>SUM(D181)</f>
        <v>2886456.8436416183</v>
      </c>
      <c r="E182" s="349">
        <f>SUM(E181)</f>
        <v>133449.63710982658</v>
      </c>
      <c r="F182" s="349">
        <f>SUM(F181)</f>
        <v>1225.0850867052022</v>
      </c>
      <c r="G182" s="349">
        <f>SUM(G181)</f>
        <v>4728167.4363583811</v>
      </c>
    </row>
    <row r="183" spans="1:7" ht="24.75" thickTop="1">
      <c r="A183" s="316" t="s">
        <v>1501</v>
      </c>
      <c r="B183" s="317"/>
      <c r="C183" s="360"/>
      <c r="D183" s="360"/>
      <c r="E183" s="360"/>
      <c r="F183" s="360"/>
      <c r="G183" s="361"/>
    </row>
    <row r="184" spans="1:7">
      <c r="A184" s="386" t="s">
        <v>1512</v>
      </c>
      <c r="B184" s="256">
        <v>100</v>
      </c>
      <c r="C184" s="311">
        <f>'3.1'!B53*'3.2'!B184/100</f>
        <v>272641.82526011561</v>
      </c>
      <c r="D184" s="311">
        <f>'3.1'!C53*'3.2'!B184/100</f>
        <v>1728913.5868208096</v>
      </c>
      <c r="E184" s="311">
        <f>'3.1'!D53*'3.2'!B184/100</f>
        <v>66724.81855491329</v>
      </c>
      <c r="F184" s="311">
        <f>'3.1'!E53*'3.2'!B184/100</f>
        <v>612.54254335260111</v>
      </c>
      <c r="G184" s="276">
        <f>SUM(C184:F184)</f>
        <v>2068892.7731791912</v>
      </c>
    </row>
    <row r="185" spans="1:7" s="264" customFormat="1" ht="24.75" thickBot="1">
      <c r="A185" s="320"/>
      <c r="B185" s="314"/>
      <c r="C185" s="349">
        <f>SUM(C184)</f>
        <v>272641.82526011561</v>
      </c>
      <c r="D185" s="349">
        <f>SUM(D184)</f>
        <v>1728913.5868208096</v>
      </c>
      <c r="E185" s="349">
        <f>SUM(E184)</f>
        <v>66724.81855491329</v>
      </c>
      <c r="F185" s="349">
        <f>SUM(F184)</f>
        <v>612.54254335260111</v>
      </c>
      <c r="G185" s="350">
        <f>SUM(C185:F185)</f>
        <v>2068892.7731791912</v>
      </c>
    </row>
    <row r="186" spans="1:7" s="264" customFormat="1" ht="25.5" thickTop="1" thickBot="1">
      <c r="A186" s="387" t="s">
        <v>361</v>
      </c>
      <c r="B186" s="388"/>
      <c r="C186" s="389">
        <f>C6+C9+C12+C16+C20+C26+C38+C41+C44+C47+C51+C55+C59+C64+C67+C70+C73+C76+C79+C82+C85+C88+C92+C95+C99+C102+C105+C109+C112+C116+C122+C125+C128+C131+C135+C140+C143+C146+C150+C153+C156+C160+C165+C168+C171+C174+C179+C182+C185</f>
        <v>151778459.31999999</v>
      </c>
      <c r="D186" s="389">
        <f>D6+D9+D12+D16+D20+D26+D38+D41+D44+D47+D51+D55+D59+D64+D67+D70+D73+D76+D79+D82+D85+D88+D92+D95+D99+D102+D105+D109+D112+D116+D122+D125+D128+D131+D135+D140+D143+D146+D150+D153+D156+D160+D165+D168+D171+D174+D179+D182+D185</f>
        <v>296774317.84999996</v>
      </c>
      <c r="E186" s="389">
        <f>E6+E9+E12+E16+E20+E26+E38+E41+E44+E47+E51+E55+E59+E64+E67+E70+E73+E76+E79+E82+E85+E88+E92+E95+E99+E102+E105+E109+E112+E116+E122+E125+E128+E131+E135+E140+E143+E146+E150+E153+E156+E160+E165+E168+E171+E174+E179+E182+E185</f>
        <v>11543393.609999998</v>
      </c>
      <c r="F186" s="389">
        <f>F6+F9+F12+F16+F20+F26+F38+F41+F44+F47+F51+F55+F59+F64+F67+F70+F73+F76+F79+F82+F85+F88+F92+F95+F99+F102+F105+F109+F112+F116+F122+F125+F128+F131+F135+F140+F143+F146+F150+F153+F156+F160+F165+F168+F171+F174+F179+F182+F185</f>
        <v>105969.86000000003</v>
      </c>
      <c r="G186" s="389">
        <f>G6+G9+G12+G16+G20+G26+G38+G41+G44+G47+G51+G55+G59+G64+G67+G70+G73+G76+G79+G82+G85+G88+G92+G95+G99+G102+G105+G109+G112+G116+G122+G125+G128+G131+G135+G140+G143+G146+G150+G153+G156+G160+G165+G168+G171+G174+G179+G182+G185</f>
        <v>460202140.63999999</v>
      </c>
    </row>
    <row r="187" spans="1:7" ht="24.75" thickTop="1">
      <c r="C187" s="240">
        <f>C186-151778459.32</f>
        <v>0</v>
      </c>
      <c r="D187" s="240">
        <f>296774317.85-D186</f>
        <v>0</v>
      </c>
      <c r="E187" s="240"/>
      <c r="F187" s="240">
        <f>11649363.47-E186-F186</f>
        <v>3.0995579436421394E-9</v>
      </c>
      <c r="G187" s="273"/>
    </row>
    <row r="188" spans="1:7">
      <c r="C188" s="240"/>
      <c r="D188" s="240"/>
      <c r="E188" s="240"/>
      <c r="F188" s="240">
        <f>E186+F186</f>
        <v>11649363.469999997</v>
      </c>
    </row>
    <row r="189" spans="1:7">
      <c r="F189" s="273"/>
    </row>
    <row r="190" spans="1:7">
      <c r="C190" s="240"/>
      <c r="D190" s="240"/>
      <c r="E190" s="240"/>
      <c r="F190" s="240"/>
      <c r="G190" s="273"/>
    </row>
    <row r="191" spans="1:7">
      <c r="C191" s="240"/>
      <c r="D191" s="240"/>
      <c r="E191" s="240"/>
      <c r="F191" s="240"/>
    </row>
    <row r="192" spans="1:7">
      <c r="C192" s="240"/>
    </row>
  </sheetData>
  <pageMargins left="0.70866141732283472" right="0.70866141732283472" top="0.34" bottom="0.3" header="0.22" footer="0.4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1"/>
  <sheetViews>
    <sheetView workbookViewId="0">
      <selection activeCell="G5" sqref="G5"/>
    </sheetView>
  </sheetViews>
  <sheetFormatPr defaultRowHeight="24"/>
  <cols>
    <col min="1" max="1" width="45" style="239" customWidth="1"/>
    <col min="2" max="4" width="19.5703125" style="239" customWidth="1"/>
    <col min="5" max="5" width="17.28515625" style="239" customWidth="1"/>
    <col min="6" max="6" width="19.28515625" style="239" customWidth="1"/>
    <col min="7" max="7" width="7.140625" style="239" customWidth="1"/>
    <col min="8" max="8" width="8.85546875" style="239" bestFit="1" customWidth="1"/>
    <col min="9" max="9" width="20.28515625" style="239" customWidth="1"/>
    <col min="10" max="16384" width="9.140625" style="239"/>
  </cols>
  <sheetData>
    <row r="1" spans="1:10">
      <c r="A1" s="962" t="s">
        <v>411</v>
      </c>
      <c r="B1" s="962"/>
      <c r="C1" s="962"/>
      <c r="D1" s="962"/>
      <c r="E1" s="962"/>
      <c r="F1" s="962"/>
      <c r="G1" s="962"/>
      <c r="H1" s="962"/>
      <c r="I1" s="962"/>
    </row>
    <row r="2" spans="1:10">
      <c r="A2" s="390"/>
      <c r="B2" s="390"/>
      <c r="C2" s="390"/>
      <c r="D2" s="390"/>
      <c r="E2" s="390"/>
      <c r="F2" s="390"/>
      <c r="G2" s="390"/>
      <c r="H2" s="390"/>
      <c r="I2" s="390"/>
    </row>
    <row r="3" spans="1:10">
      <c r="A3" s="391" t="s">
        <v>230</v>
      </c>
      <c r="B3" s="391" t="s">
        <v>3</v>
      </c>
      <c r="C3" s="391" t="s">
        <v>2</v>
      </c>
      <c r="D3" s="391" t="s">
        <v>0</v>
      </c>
      <c r="E3" s="391" t="s">
        <v>303</v>
      </c>
      <c r="F3" s="391" t="s">
        <v>351</v>
      </c>
      <c r="G3" s="391" t="s">
        <v>228</v>
      </c>
      <c r="H3" s="391" t="s">
        <v>229</v>
      </c>
      <c r="I3" s="391" t="s">
        <v>352</v>
      </c>
      <c r="J3" s="392"/>
    </row>
    <row r="4" spans="1:10">
      <c r="A4" s="393" t="s">
        <v>233</v>
      </c>
      <c r="B4" s="394">
        <f>'4.1'!D77</f>
        <v>65143835.858516067</v>
      </c>
      <c r="C4" s="394">
        <f>'4.1'!D166</f>
        <v>127425158.84189254</v>
      </c>
      <c r="D4" s="394">
        <f>'4.1'!D256</f>
        <v>4911346.9945529457</v>
      </c>
      <c r="E4" s="394">
        <f>'4.1'!D346</f>
        <v>45086.806446011564</v>
      </c>
      <c r="F4" s="395">
        <f>SUM(B4:E4)</f>
        <v>197525428.50140756</v>
      </c>
      <c r="G4" s="396">
        <f>'1.1'!F3</f>
        <v>67049</v>
      </c>
      <c r="H4" s="309" t="s">
        <v>232</v>
      </c>
      <c r="I4" s="397">
        <f>+F4/G4</f>
        <v>2945.9861966831359</v>
      </c>
      <c r="J4" s="398"/>
    </row>
    <row r="5" spans="1:10">
      <c r="A5" s="319" t="s">
        <v>236</v>
      </c>
      <c r="B5" s="394">
        <f>'4.1'!F77</f>
        <v>63010829.423037685</v>
      </c>
      <c r="C5" s="399">
        <f>'4.1'!F166</f>
        <v>116835977.02018386</v>
      </c>
      <c r="D5" s="399">
        <f>'4.1'!F256</f>
        <v>4644981.5188817307</v>
      </c>
      <c r="E5" s="399">
        <f>'4.1'!F346</f>
        <v>42641.536612947973</v>
      </c>
      <c r="F5" s="395">
        <f>SUM(B5:E5)</f>
        <v>184534429.49871624</v>
      </c>
      <c r="G5" s="255">
        <f>'1.1'!F4</f>
        <v>2848</v>
      </c>
      <c r="H5" s="256" t="s">
        <v>232</v>
      </c>
      <c r="I5" s="397">
        <f>+F5/G5</f>
        <v>64794.392380167221</v>
      </c>
      <c r="J5" s="398"/>
    </row>
    <row r="6" spans="1:10">
      <c r="A6" s="319" t="s">
        <v>240</v>
      </c>
      <c r="B6" s="394">
        <f>'4.1'!H77</f>
        <v>12511180.734414453</v>
      </c>
      <c r="C6" s="399">
        <f>'4.1'!H166</f>
        <v>26264555.044701159</v>
      </c>
      <c r="D6" s="399">
        <f>'4.1'!H256</f>
        <v>952830.40896416211</v>
      </c>
      <c r="E6" s="399">
        <f>'4.1'!H346</f>
        <v>8747.1075190751435</v>
      </c>
      <c r="F6" s="395">
        <f>SUM(B6:E6)</f>
        <v>39737313.29559885</v>
      </c>
      <c r="G6" s="255">
        <f>'1.1'!F5</f>
        <v>4</v>
      </c>
      <c r="H6" s="256" t="s">
        <v>238</v>
      </c>
      <c r="I6" s="397">
        <f>+F6/G6</f>
        <v>9934328.3238997124</v>
      </c>
      <c r="J6" s="398"/>
    </row>
    <row r="7" spans="1:10">
      <c r="A7" s="880" t="s">
        <v>1488</v>
      </c>
      <c r="B7" s="394">
        <f>'4.1'!J77</f>
        <v>11112613.304031795</v>
      </c>
      <c r="C7" s="399">
        <f>'4.1'!J166</f>
        <v>26248626.943222545</v>
      </c>
      <c r="D7" s="399">
        <f>'4.1'!J256</f>
        <v>1034234.6876011562</v>
      </c>
      <c r="E7" s="399">
        <f>'4.1'!J346</f>
        <v>9494.4094219653161</v>
      </c>
      <c r="F7" s="395">
        <f>SUM(B7:E7)</f>
        <v>38404969.344277464</v>
      </c>
      <c r="G7" s="255">
        <f>'1.1'!F6</f>
        <v>1</v>
      </c>
      <c r="H7" s="333" t="s">
        <v>241</v>
      </c>
      <c r="I7" s="397">
        <f>+F7/G7</f>
        <v>38404969.344277464</v>
      </c>
      <c r="J7" s="398"/>
    </row>
    <row r="8" spans="1:10" ht="24.75" thickBot="1">
      <c r="A8" s="400" t="s">
        <v>1</v>
      </c>
      <c r="B8" s="401">
        <f>SUM(B4:B7)</f>
        <v>151778459.31999999</v>
      </c>
      <c r="C8" s="401">
        <f t="shared" ref="C8:F8" si="0">SUM(C4:C7)</f>
        <v>296774317.85000008</v>
      </c>
      <c r="D8" s="401">
        <f t="shared" si="0"/>
        <v>11543393.609999996</v>
      </c>
      <c r="E8" s="401">
        <f t="shared" si="0"/>
        <v>105969.86</v>
      </c>
      <c r="F8" s="401">
        <f t="shared" si="0"/>
        <v>460202140.6400001</v>
      </c>
      <c r="G8" s="402"/>
      <c r="H8" s="402"/>
      <c r="I8" s="389">
        <f>SUM(I4:I7)</f>
        <v>48407038.046754025</v>
      </c>
    </row>
    <row r="9" spans="1:10" ht="24.75" thickTop="1">
      <c r="B9" s="243">
        <f>151778459.32-B8</f>
        <v>0</v>
      </c>
      <c r="C9" s="243"/>
      <c r="D9" s="243"/>
      <c r="E9" s="240">
        <f>SUM(D8:E8)</f>
        <v>11649363.469999995</v>
      </c>
      <c r="F9" s="243"/>
    </row>
    <row r="10" spans="1:10">
      <c r="B10" s="243"/>
      <c r="C10" s="240"/>
      <c r="D10" s="240" t="s">
        <v>383</v>
      </c>
      <c r="E10" s="240">
        <f>E9-11649363.47</f>
        <v>0</v>
      </c>
    </row>
    <row r="11" spans="1:10">
      <c r="B11" s="240"/>
      <c r="C11" s="240"/>
      <c r="D11" s="240"/>
      <c r="E11" s="240"/>
      <c r="F11" s="240"/>
    </row>
    <row r="12" spans="1:10">
      <c r="B12" s="240"/>
      <c r="C12" s="240"/>
      <c r="D12" s="240"/>
      <c r="E12" s="240"/>
    </row>
    <row r="13" spans="1:10">
      <c r="B13" s="240"/>
    </row>
    <row r="14" spans="1:10">
      <c r="B14" s="240"/>
      <c r="C14" s="240"/>
      <c r="D14" s="240"/>
      <c r="E14" s="240"/>
    </row>
    <row r="15" spans="1:10">
      <c r="B15" s="240"/>
      <c r="C15" s="240"/>
      <c r="D15" s="240"/>
      <c r="E15" s="240"/>
    </row>
    <row r="16" spans="1:10">
      <c r="B16" s="240"/>
      <c r="C16" s="240"/>
      <c r="D16" s="240"/>
      <c r="E16" s="240"/>
    </row>
    <row r="17" spans="1:9">
      <c r="B17" s="273"/>
      <c r="C17" s="273"/>
      <c r="D17" s="273"/>
      <c r="E17" s="273"/>
    </row>
    <row r="27" spans="1:9">
      <c r="A27" s="960"/>
      <c r="B27" s="960"/>
      <c r="C27" s="960"/>
      <c r="D27" s="960"/>
      <c r="E27" s="960"/>
      <c r="F27" s="960"/>
      <c r="G27" s="960"/>
      <c r="H27" s="960"/>
      <c r="I27" s="960"/>
    </row>
    <row r="28" spans="1:9">
      <c r="A28" s="390"/>
      <c r="B28" s="390"/>
      <c r="C28" s="390"/>
      <c r="D28" s="390"/>
      <c r="E28" s="390"/>
      <c r="F28" s="390"/>
      <c r="G28" s="390"/>
      <c r="H28" s="390"/>
      <c r="I28" s="390"/>
    </row>
    <row r="29" spans="1:9">
      <c r="A29" s="238"/>
      <c r="B29" s="238"/>
      <c r="C29" s="238"/>
      <c r="D29" s="238"/>
      <c r="E29" s="238"/>
      <c r="F29" s="238"/>
      <c r="G29" s="238"/>
      <c r="H29" s="238"/>
      <c r="I29" s="238"/>
    </row>
    <row r="30" spans="1:9">
      <c r="B30" s="285"/>
      <c r="C30" s="285"/>
      <c r="D30" s="285"/>
      <c r="E30" s="285"/>
      <c r="F30" s="327"/>
      <c r="G30" s="390"/>
      <c r="H30" s="390"/>
      <c r="I30" s="403"/>
    </row>
    <row r="31" spans="1:9">
      <c r="B31" s="285"/>
      <c r="C31" s="285"/>
      <c r="D31" s="285"/>
      <c r="E31" s="285"/>
      <c r="F31" s="327"/>
      <c r="G31" s="404"/>
      <c r="H31" s="390"/>
      <c r="I31" s="405"/>
    </row>
    <row r="32" spans="1:9">
      <c r="B32" s="285"/>
      <c r="C32" s="285"/>
      <c r="D32" s="285"/>
      <c r="E32" s="285"/>
      <c r="F32" s="327"/>
      <c r="G32" s="390"/>
      <c r="H32" s="390"/>
      <c r="I32" s="405"/>
    </row>
    <row r="33" spans="1:9">
      <c r="B33" s="285"/>
      <c r="C33" s="285"/>
      <c r="D33" s="285"/>
      <c r="E33" s="285"/>
      <c r="F33" s="327"/>
      <c r="G33" s="390"/>
      <c r="H33" s="390"/>
      <c r="I33" s="405"/>
    </row>
    <row r="34" spans="1:9">
      <c r="B34" s="285"/>
      <c r="C34" s="285"/>
      <c r="D34" s="285"/>
      <c r="E34" s="285"/>
      <c r="F34" s="327"/>
      <c r="G34" s="404"/>
      <c r="H34" s="390"/>
      <c r="I34" s="403"/>
    </row>
    <row r="35" spans="1:9">
      <c r="B35" s="285"/>
      <c r="C35" s="285"/>
      <c r="D35" s="285"/>
      <c r="E35" s="285"/>
      <c r="F35" s="327"/>
      <c r="G35" s="404"/>
      <c r="H35" s="390"/>
      <c r="I35" s="403"/>
    </row>
    <row r="36" spans="1:9">
      <c r="A36" s="238"/>
      <c r="B36" s="289"/>
      <c r="C36" s="289"/>
      <c r="D36" s="289"/>
      <c r="E36" s="289"/>
      <c r="F36" s="383"/>
    </row>
    <row r="37" spans="1:9">
      <c r="B37" s="243"/>
      <c r="C37" s="243"/>
      <c r="D37" s="243"/>
      <c r="E37" s="282"/>
      <c r="F37" s="243"/>
    </row>
    <row r="38" spans="1:9">
      <c r="B38" s="243"/>
      <c r="C38" s="282"/>
      <c r="D38" s="282"/>
      <c r="E38" s="282"/>
    </row>
    <row r="39" spans="1:9">
      <c r="B39" s="282"/>
      <c r="C39" s="282"/>
      <c r="D39" s="282"/>
      <c r="E39" s="282"/>
      <c r="F39" s="282"/>
    </row>
    <row r="40" spans="1:9">
      <c r="B40" s="282"/>
      <c r="C40" s="282"/>
      <c r="D40" s="282"/>
      <c r="E40" s="282"/>
    </row>
    <row r="41" spans="1:9">
      <c r="B41" s="240"/>
    </row>
  </sheetData>
  <mergeCells count="2">
    <mergeCell ref="A1:I1"/>
    <mergeCell ref="A27:I27"/>
  </mergeCells>
  <pageMargins left="0.6" right="0.54" top="0.69" bottom="0.74803149606299213" header="0.31496062992125984" footer="0.31496062992125984"/>
  <pageSetup paperSize="9"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91"/>
  <sheetViews>
    <sheetView topLeftCell="A340" workbookViewId="0">
      <selection activeCell="A268" sqref="A268"/>
    </sheetView>
  </sheetViews>
  <sheetFormatPr defaultRowHeight="24"/>
  <cols>
    <col min="1" max="1" width="72.42578125" style="239" customWidth="1"/>
    <col min="2" max="2" width="19.85546875" style="239" customWidth="1"/>
    <col min="3" max="3" width="8.5703125" style="239" customWidth="1"/>
    <col min="4" max="4" width="17.5703125" style="437" customWidth="1"/>
    <col min="5" max="5" width="7.42578125" style="239" bestFit="1" customWidth="1"/>
    <col min="6" max="6" width="18.28515625" style="437" customWidth="1"/>
    <col min="7" max="7" width="6.85546875" style="239" customWidth="1"/>
    <col min="8" max="8" width="18.85546875" style="437" customWidth="1"/>
    <col min="9" max="9" width="7.42578125" style="438" bestFit="1" customWidth="1"/>
    <col min="10" max="10" width="17.28515625" style="437" customWidth="1"/>
    <col min="11" max="11" width="16.28515625" style="470" customWidth="1"/>
    <col min="12" max="12" width="16.28515625" style="239" customWidth="1"/>
    <col min="13" max="13" width="2.85546875" style="239" bestFit="1" customWidth="1"/>
    <col min="14" max="14" width="1.42578125" style="239" bestFit="1" customWidth="1"/>
    <col min="15" max="16384" width="9.140625" style="239"/>
  </cols>
  <sheetData>
    <row r="1" spans="1:11">
      <c r="A1" s="264" t="s">
        <v>412</v>
      </c>
      <c r="B1" s="264"/>
      <c r="C1" s="264"/>
      <c r="D1" s="406"/>
      <c r="E1" s="264"/>
      <c r="F1" s="406"/>
      <c r="G1" s="264"/>
      <c r="H1" s="406"/>
      <c r="I1" s="407"/>
      <c r="J1" s="885"/>
      <c r="K1" s="408"/>
    </row>
    <row r="2" spans="1:11">
      <c r="A2" s="409" t="s">
        <v>227</v>
      </c>
      <c r="B2" s="391" t="s">
        <v>3</v>
      </c>
      <c r="C2" s="391" t="s">
        <v>364</v>
      </c>
      <c r="D2" s="410" t="s">
        <v>413</v>
      </c>
      <c r="E2" s="391" t="s">
        <v>364</v>
      </c>
      <c r="F2" s="410" t="s">
        <v>414</v>
      </c>
      <c r="G2" s="391" t="s">
        <v>364</v>
      </c>
      <c r="H2" s="410" t="s">
        <v>415</v>
      </c>
      <c r="I2" s="411" t="s">
        <v>364</v>
      </c>
      <c r="J2" s="410" t="s">
        <v>416</v>
      </c>
      <c r="K2" s="412"/>
    </row>
    <row r="3" spans="1:11">
      <c r="A3" s="413" t="s">
        <v>353</v>
      </c>
      <c r="B3" s="308"/>
      <c r="C3" s="308"/>
      <c r="D3" s="414"/>
      <c r="E3" s="308"/>
      <c r="F3" s="414"/>
      <c r="G3" s="308"/>
      <c r="H3" s="414"/>
      <c r="I3" s="415"/>
      <c r="J3" s="416"/>
      <c r="K3" s="412"/>
    </row>
    <row r="4" spans="1:11">
      <c r="A4" s="252" t="str">
        <f>+'[2]3.2'!A5</f>
        <v>1.1 การตรวจคัดกรองมะเร็งปากมดลูกระยะเริ่มแรก</v>
      </c>
      <c r="B4" s="340">
        <f>ตาราง3!C5</f>
        <v>1489738.6626300577</v>
      </c>
      <c r="C4" s="340">
        <v>100</v>
      </c>
      <c r="D4" s="417">
        <f>+B4*C4/100</f>
        <v>1489738.6626300577</v>
      </c>
      <c r="E4" s="256"/>
      <c r="F4" s="417">
        <f>+B4*E4/100</f>
        <v>0</v>
      </c>
      <c r="G4" s="256"/>
      <c r="H4" s="417">
        <f>+B4*G4/100</f>
        <v>0</v>
      </c>
      <c r="I4" s="418"/>
      <c r="J4" s="419">
        <f>+B4*I4/100</f>
        <v>0</v>
      </c>
      <c r="K4" s="420"/>
    </row>
    <row r="5" spans="1:11">
      <c r="A5" s="252" t="str">
        <f>+'[2]3.2'!A8</f>
        <v xml:space="preserve">2.1. การบริการผ่าตัดวินิจโรค  ค้นหาโรคมะเร็ง  </v>
      </c>
      <c r="B5" s="340">
        <f>ตาราง3!C6</f>
        <v>2093604.9678901734</v>
      </c>
      <c r="C5" s="256">
        <v>0</v>
      </c>
      <c r="D5" s="417">
        <f t="shared" ref="D5:D27" si="0">+B5*C5/100</f>
        <v>0</v>
      </c>
      <c r="E5" s="256">
        <v>100</v>
      </c>
      <c r="F5" s="417">
        <f t="shared" ref="F5:F27" si="1">+B5*E5/100</f>
        <v>2093604.9678901734</v>
      </c>
      <c r="G5" s="256"/>
      <c r="H5" s="417">
        <f t="shared" ref="H5:H27" si="2">+B5*G5/100</f>
        <v>0</v>
      </c>
      <c r="I5" s="418"/>
      <c r="J5" s="419">
        <f t="shared" ref="J5:J27" si="3">+B5*I5/100</f>
        <v>0</v>
      </c>
      <c r="K5" s="420"/>
    </row>
    <row r="6" spans="1:11">
      <c r="A6" s="252" t="str">
        <f>+'[2]3.2'!A11</f>
        <v>3.1. ให้บริการการพยาบาลผู้ป่วยที่ได้รับการระงับความรู้สึกทุกประเภท</v>
      </c>
      <c r="B6" s="340">
        <f>ตาราง3!C7</f>
        <v>1542754.3426300576</v>
      </c>
      <c r="C6" s="256">
        <v>0</v>
      </c>
      <c r="D6" s="417">
        <f t="shared" si="0"/>
        <v>0</v>
      </c>
      <c r="E6" s="256">
        <v>100</v>
      </c>
      <c r="F6" s="417">
        <f t="shared" si="1"/>
        <v>1542754.3426300576</v>
      </c>
      <c r="G6" s="256"/>
      <c r="H6" s="417">
        <f t="shared" si="2"/>
        <v>0</v>
      </c>
      <c r="I6" s="418"/>
      <c r="J6" s="419">
        <f t="shared" si="3"/>
        <v>0</v>
      </c>
      <c r="K6" s="420"/>
    </row>
    <row r="7" spans="1:11">
      <c r="A7" s="252" t="str">
        <f>+'[2]3.2'!A14</f>
        <v>4.1 ให้บริการรักษาผู้ป่วยนอก</v>
      </c>
      <c r="B7" s="340">
        <f>ตาราง3!C8</f>
        <v>3836009.5967612718</v>
      </c>
      <c r="C7" s="256">
        <v>100</v>
      </c>
      <c r="D7" s="417">
        <f t="shared" si="0"/>
        <v>3836009.5967612718</v>
      </c>
      <c r="E7" s="256"/>
      <c r="F7" s="417">
        <f t="shared" si="1"/>
        <v>0</v>
      </c>
      <c r="G7" s="256"/>
      <c r="H7" s="417">
        <f t="shared" si="2"/>
        <v>0</v>
      </c>
      <c r="I7" s="418"/>
      <c r="J7" s="419">
        <f t="shared" si="3"/>
        <v>0</v>
      </c>
      <c r="K7" s="420"/>
    </row>
    <row r="8" spans="1:11">
      <c r="A8" s="252" t="str">
        <f>+'[2]3.2'!A15</f>
        <v>4.2 ให้บริการรักษาผู้ป่วยใน</v>
      </c>
      <c r="B8" s="340">
        <f>ตาราง3!C9</f>
        <v>244851.67638901738</v>
      </c>
      <c r="C8" s="256"/>
      <c r="D8" s="417">
        <f t="shared" si="0"/>
        <v>0</v>
      </c>
      <c r="E8" s="256">
        <v>100</v>
      </c>
      <c r="F8" s="417">
        <f t="shared" si="1"/>
        <v>244851.67638901738</v>
      </c>
      <c r="G8" s="256"/>
      <c r="H8" s="417">
        <f t="shared" si="2"/>
        <v>0</v>
      </c>
      <c r="I8" s="418"/>
      <c r="J8" s="419">
        <f t="shared" si="3"/>
        <v>0</v>
      </c>
      <c r="K8" s="420"/>
    </row>
    <row r="9" spans="1:11">
      <c r="A9" s="252" t="str">
        <f>+'[2]3.2'!A18</f>
        <v>5.1 ให้บริการรักษาผู้ป่วยโรคมะเร็งด้วยยาเคมีบำบัด ผู้ป่วยนอก</v>
      </c>
      <c r="B9" s="340">
        <f>ตาราง3!C10</f>
        <v>1145326.0955037572</v>
      </c>
      <c r="C9" s="256">
        <v>100</v>
      </c>
      <c r="D9" s="417">
        <f t="shared" si="0"/>
        <v>1145326.0955037572</v>
      </c>
      <c r="E9" s="256"/>
      <c r="F9" s="417">
        <f t="shared" si="1"/>
        <v>0</v>
      </c>
      <c r="G9" s="256"/>
      <c r="H9" s="417">
        <f t="shared" si="2"/>
        <v>0</v>
      </c>
      <c r="I9" s="418"/>
      <c r="J9" s="419">
        <f t="shared" si="3"/>
        <v>0</v>
      </c>
      <c r="K9" s="420"/>
    </row>
    <row r="10" spans="1:11">
      <c r="A10" s="252" t="str">
        <f>+'[2]3.2'!A19</f>
        <v>5.2 .ให้บริการรักษาผู้ป่วยโรคมะเร็งด้วยยาเคมีบำบัด ผู้ป่วยใน</v>
      </c>
      <c r="B10" s="340">
        <f>ตาราง3!C11</f>
        <v>2325359.0423864159</v>
      </c>
      <c r="C10" s="256"/>
      <c r="D10" s="417">
        <f t="shared" si="0"/>
        <v>0</v>
      </c>
      <c r="E10" s="256">
        <v>100</v>
      </c>
      <c r="F10" s="417">
        <f t="shared" si="1"/>
        <v>2325359.0423864159</v>
      </c>
      <c r="G10" s="256"/>
      <c r="H10" s="417">
        <f t="shared" si="2"/>
        <v>0</v>
      </c>
      <c r="I10" s="418"/>
      <c r="J10" s="419">
        <f t="shared" si="3"/>
        <v>0</v>
      </c>
      <c r="K10" s="420"/>
    </row>
    <row r="11" spans="1:11">
      <c r="A11" s="252" t="str">
        <f>+'[2]3.2'!A22</f>
        <v>6.1. ให้บริการผู้ป่วยมะเร็งโสต ศอ นาสิก ด้วยรังสีรักษา</v>
      </c>
      <c r="B11" s="340">
        <f>ตาราง3!C12</f>
        <v>0</v>
      </c>
      <c r="C11" s="256">
        <v>0</v>
      </c>
      <c r="D11" s="417">
        <f t="shared" si="0"/>
        <v>0</v>
      </c>
      <c r="E11" s="256">
        <v>0</v>
      </c>
      <c r="F11" s="417">
        <f t="shared" si="1"/>
        <v>0</v>
      </c>
      <c r="G11" s="256"/>
      <c r="H11" s="417">
        <f t="shared" si="2"/>
        <v>0</v>
      </c>
      <c r="I11" s="418"/>
      <c r="J11" s="419">
        <f t="shared" si="3"/>
        <v>0</v>
      </c>
      <c r="K11" s="420"/>
    </row>
    <row r="12" spans="1:11">
      <c r="A12" s="252" t="s">
        <v>245</v>
      </c>
      <c r="B12" s="340">
        <f>ตาราง3!C13</f>
        <v>12245372.165751446</v>
      </c>
      <c r="C12" s="256">
        <v>100</v>
      </c>
      <c r="D12" s="417">
        <f t="shared" si="0"/>
        <v>12245372.165751446</v>
      </c>
      <c r="E12" s="256"/>
      <c r="F12" s="417">
        <f t="shared" si="1"/>
        <v>0</v>
      </c>
      <c r="G12" s="256"/>
      <c r="H12" s="417">
        <f t="shared" si="2"/>
        <v>0</v>
      </c>
      <c r="I12" s="418"/>
      <c r="J12" s="419">
        <f t="shared" si="3"/>
        <v>0</v>
      </c>
      <c r="K12" s="420"/>
    </row>
    <row r="13" spans="1:11">
      <c r="A13" s="252" t="str">
        <f>+'[2]3.2'!A33</f>
        <v>8.1 บริการตรวจค้นหาและศึกษาวิเคราะห์ความผิดปกติจากภาพถ่ายเอกซเรย์ปอด</v>
      </c>
      <c r="B13" s="340">
        <f>ตาราง3!C14</f>
        <v>4887510.2964106938</v>
      </c>
      <c r="C13" s="256">
        <v>80</v>
      </c>
      <c r="D13" s="417">
        <f t="shared" si="0"/>
        <v>3910008.2371285553</v>
      </c>
      <c r="E13" s="256">
        <v>20</v>
      </c>
      <c r="F13" s="417">
        <f t="shared" si="1"/>
        <v>977502.05928213883</v>
      </c>
      <c r="G13" s="256"/>
      <c r="H13" s="417">
        <f t="shared" si="2"/>
        <v>0</v>
      </c>
      <c r="I13" s="418"/>
      <c r="J13" s="419">
        <f t="shared" si="3"/>
        <v>0</v>
      </c>
      <c r="K13" s="420"/>
    </row>
    <row r="14" spans="1:11">
      <c r="A14" s="252" t="str">
        <f>+'[2]3.2'!A34</f>
        <v>8.2 ให้บริการตรวจค้นหา ศึกษา วิเคราะห์มะเร็งของงานเอกซเรย์พิเศษ</v>
      </c>
      <c r="B14" s="340">
        <f>ตาราง3!C15</f>
        <v>61867.218941907522</v>
      </c>
      <c r="C14" s="256">
        <v>100</v>
      </c>
      <c r="D14" s="417">
        <f t="shared" si="0"/>
        <v>61867.218941907522</v>
      </c>
      <c r="E14" s="256"/>
      <c r="F14" s="417">
        <f t="shared" si="1"/>
        <v>0</v>
      </c>
      <c r="G14" s="256"/>
      <c r="H14" s="417">
        <f t="shared" si="2"/>
        <v>0</v>
      </c>
      <c r="I14" s="418"/>
      <c r="J14" s="419">
        <f t="shared" si="3"/>
        <v>0</v>
      </c>
      <c r="K14" s="420"/>
    </row>
    <row r="15" spans="1:11">
      <c r="A15" s="252" t="str">
        <f>+'[2]3.2'!A35</f>
        <v>8.3. ให้บริการตรวจด้วยคลื่นเสียงความถี่สูง</v>
      </c>
      <c r="B15" s="340">
        <f>ตาราง3!C16</f>
        <v>866141.06518670532</v>
      </c>
      <c r="C15" s="256">
        <v>80</v>
      </c>
      <c r="D15" s="417">
        <f t="shared" si="0"/>
        <v>692912.85214936419</v>
      </c>
      <c r="E15" s="256">
        <v>20</v>
      </c>
      <c r="F15" s="417">
        <f t="shared" si="1"/>
        <v>173228.21303734105</v>
      </c>
      <c r="G15" s="256"/>
      <c r="H15" s="417">
        <f t="shared" si="2"/>
        <v>0</v>
      </c>
      <c r="I15" s="418"/>
      <c r="J15" s="419">
        <f t="shared" si="3"/>
        <v>0</v>
      </c>
      <c r="K15" s="420"/>
    </row>
    <row r="16" spans="1:11">
      <c r="A16" s="252" t="str">
        <f>+'[2]3.2'!A36</f>
        <v>8.4 .ให้บริการตรวจเพื่อค้นหา รวมทั้งศึกษา วิเคราะห์โรคมะเร็งเต้านมและความผิดปกติของ</v>
      </c>
      <c r="B16" s="340">
        <f>ตาราง3!C17</f>
        <v>371203.31365144515</v>
      </c>
      <c r="C16" s="256">
        <v>100</v>
      </c>
      <c r="D16" s="417">
        <f t="shared" si="0"/>
        <v>371203.31365144515</v>
      </c>
      <c r="E16" s="256"/>
      <c r="F16" s="417">
        <f t="shared" si="1"/>
        <v>0</v>
      </c>
      <c r="G16" s="256"/>
      <c r="H16" s="417">
        <f t="shared" si="2"/>
        <v>0</v>
      </c>
      <c r="I16" s="418"/>
      <c r="J16" s="419">
        <f t="shared" si="3"/>
        <v>0</v>
      </c>
      <c r="K16" s="420"/>
    </row>
    <row r="17" spans="1:11">
      <c r="A17" s="252" t="str">
        <f>+'[2]3.2'!A37</f>
        <v>เต้านมจากการถ่ายเอกซเรย์เต้านม</v>
      </c>
      <c r="B17" s="340"/>
      <c r="C17" s="256"/>
      <c r="D17" s="417">
        <f t="shared" si="0"/>
        <v>0</v>
      </c>
      <c r="E17" s="256"/>
      <c r="F17" s="417"/>
      <c r="G17" s="256"/>
      <c r="H17" s="417"/>
      <c r="I17" s="418"/>
      <c r="J17" s="419"/>
      <c r="K17" s="420"/>
    </row>
    <row r="18" spans="1:11">
      <c r="A18" s="252" t="str">
        <f>+'[2]3.2'!A40</f>
        <v>9.1. ให้บริการตรวจวินิจฉัยและรักษาผู้ป่วยด้านเวชศาสตร์นิวเคลียร์</v>
      </c>
      <c r="B18" s="340">
        <f>ตาราง3!C19</f>
        <v>6434649.6436705207</v>
      </c>
      <c r="C18" s="256">
        <v>100</v>
      </c>
      <c r="D18" s="417">
        <f t="shared" si="0"/>
        <v>6434649.6436705207</v>
      </c>
      <c r="E18" s="256"/>
      <c r="F18" s="417">
        <f t="shared" si="1"/>
        <v>0</v>
      </c>
      <c r="G18" s="256"/>
      <c r="H18" s="417">
        <f t="shared" si="2"/>
        <v>0</v>
      </c>
      <c r="I18" s="418"/>
      <c r="J18" s="419">
        <f t="shared" si="3"/>
        <v>0</v>
      </c>
      <c r="K18" s="420"/>
    </row>
    <row r="19" spans="1:11">
      <c r="A19" s="252" t="str">
        <f>+'[2]3.2'!A43</f>
        <v>10.1 บริการตรวจวินิจฉัยและค้นหาโรคมะเร็งงานพยาธิวิทยาคลินิค</v>
      </c>
      <c r="B19" s="340">
        <f>ตาราง3!C20</f>
        <v>1530574.4257803471</v>
      </c>
      <c r="C19" s="256">
        <v>100</v>
      </c>
      <c r="D19" s="417">
        <f>+B19*C19/100</f>
        <v>1530574.4257803471</v>
      </c>
      <c r="E19" s="256"/>
      <c r="F19" s="417">
        <f>+B19*E19/100</f>
        <v>0</v>
      </c>
      <c r="G19" s="256"/>
      <c r="H19" s="417">
        <f>+B19*G19/100</f>
        <v>0</v>
      </c>
      <c r="I19" s="418"/>
      <c r="J19" s="419">
        <f>+B19*I19/100</f>
        <v>0</v>
      </c>
      <c r="K19" s="420"/>
    </row>
    <row r="20" spans="1:11">
      <c r="A20" s="259" t="s">
        <v>1478</v>
      </c>
      <c r="B20" s="340">
        <f>ตาราง3!C21</f>
        <v>951138.12052023131</v>
      </c>
      <c r="C20" s="256"/>
      <c r="D20" s="417">
        <f>+B20*C20/100</f>
        <v>0</v>
      </c>
      <c r="E20" s="256">
        <v>100</v>
      </c>
      <c r="F20" s="417">
        <f t="shared" si="1"/>
        <v>951138.12052023131</v>
      </c>
      <c r="G20" s="256"/>
      <c r="H20" s="417">
        <f t="shared" si="2"/>
        <v>0</v>
      </c>
      <c r="I20" s="418"/>
      <c r="J20" s="419">
        <f t="shared" si="3"/>
        <v>0</v>
      </c>
      <c r="K20" s="420"/>
    </row>
    <row r="21" spans="1:11">
      <c r="A21" s="259" t="s">
        <v>251</v>
      </c>
      <c r="B21" s="340">
        <f>ตาราง3!C22</f>
        <v>1564764.5267942196</v>
      </c>
      <c r="C21" s="256">
        <v>100</v>
      </c>
      <c r="D21" s="417">
        <f t="shared" si="0"/>
        <v>1564764.5267942196</v>
      </c>
      <c r="E21" s="256"/>
      <c r="F21" s="417">
        <f t="shared" si="1"/>
        <v>0</v>
      </c>
      <c r="G21" s="256"/>
      <c r="H21" s="417">
        <f t="shared" si="2"/>
        <v>0</v>
      </c>
      <c r="I21" s="418"/>
      <c r="J21" s="419">
        <f t="shared" si="3"/>
        <v>0</v>
      </c>
      <c r="K21" s="420"/>
    </row>
    <row r="22" spans="1:11">
      <c r="A22" s="259" t="s">
        <v>252</v>
      </c>
      <c r="B22" s="340">
        <f>ตาราง3!C23</f>
        <v>494136.16635606927</v>
      </c>
      <c r="C22" s="256"/>
      <c r="D22" s="417">
        <f t="shared" si="0"/>
        <v>0</v>
      </c>
      <c r="E22" s="256">
        <v>100</v>
      </c>
      <c r="F22" s="417">
        <f t="shared" si="1"/>
        <v>494136.16635606927</v>
      </c>
      <c r="G22" s="256"/>
      <c r="H22" s="417">
        <f t="shared" si="2"/>
        <v>0</v>
      </c>
      <c r="I22" s="418"/>
      <c r="J22" s="419">
        <f t="shared" si="3"/>
        <v>0</v>
      </c>
      <c r="K22" s="420"/>
    </row>
    <row r="23" spans="1:11">
      <c r="A23" s="259" t="s">
        <v>254</v>
      </c>
      <c r="B23" s="340">
        <f>ตาราง3!C24</f>
        <v>5311910.2946809242</v>
      </c>
      <c r="C23" s="256">
        <v>100</v>
      </c>
      <c r="D23" s="417">
        <f t="shared" si="0"/>
        <v>5311910.2946809242</v>
      </c>
      <c r="E23" s="256"/>
      <c r="F23" s="417">
        <f t="shared" si="1"/>
        <v>0</v>
      </c>
      <c r="G23" s="256"/>
      <c r="H23" s="417">
        <f t="shared" si="2"/>
        <v>0</v>
      </c>
      <c r="I23" s="418"/>
      <c r="J23" s="419">
        <f t="shared" si="3"/>
        <v>0</v>
      </c>
      <c r="K23" s="420"/>
    </row>
    <row r="24" spans="1:11">
      <c r="A24" s="259" t="s">
        <v>255</v>
      </c>
      <c r="B24" s="340">
        <f>ตาราง3!C25</f>
        <v>4007230.5731803463</v>
      </c>
      <c r="C24" s="256"/>
      <c r="D24" s="417">
        <f t="shared" si="0"/>
        <v>0</v>
      </c>
      <c r="E24" s="256">
        <v>100</v>
      </c>
      <c r="F24" s="417">
        <f t="shared" si="1"/>
        <v>4007230.5731803463</v>
      </c>
      <c r="G24" s="256"/>
      <c r="H24" s="417">
        <f t="shared" si="2"/>
        <v>0</v>
      </c>
      <c r="I24" s="418"/>
      <c r="J24" s="419">
        <f t="shared" si="3"/>
        <v>0</v>
      </c>
      <c r="K24" s="420"/>
    </row>
    <row r="25" spans="1:11">
      <c r="A25" s="259" t="s">
        <v>257</v>
      </c>
      <c r="B25" s="340">
        <f>ตาราง3!C26</f>
        <v>624332.74698728335</v>
      </c>
      <c r="C25" s="256"/>
      <c r="D25" s="417">
        <f t="shared" si="0"/>
        <v>0</v>
      </c>
      <c r="E25" s="256">
        <v>100</v>
      </c>
      <c r="F25" s="417">
        <f t="shared" si="1"/>
        <v>624332.74698728335</v>
      </c>
      <c r="G25" s="256"/>
      <c r="H25" s="417">
        <f t="shared" si="2"/>
        <v>0</v>
      </c>
      <c r="I25" s="418"/>
      <c r="J25" s="419">
        <f t="shared" si="3"/>
        <v>0</v>
      </c>
      <c r="K25" s="420"/>
    </row>
    <row r="26" spans="1:11">
      <c r="A26" s="259" t="s">
        <v>258</v>
      </c>
      <c r="B26" s="340">
        <f>ตาราง3!C27</f>
        <v>242796.06827283237</v>
      </c>
      <c r="C26" s="256"/>
      <c r="D26" s="417">
        <f t="shared" si="0"/>
        <v>0</v>
      </c>
      <c r="E26" s="256"/>
      <c r="F26" s="417">
        <f t="shared" si="1"/>
        <v>0</v>
      </c>
      <c r="G26" s="256">
        <v>100</v>
      </c>
      <c r="H26" s="417">
        <f t="shared" si="2"/>
        <v>242796.06827283237</v>
      </c>
      <c r="I26" s="418"/>
      <c r="J26" s="419">
        <f t="shared" si="3"/>
        <v>0</v>
      </c>
      <c r="K26" s="420"/>
    </row>
    <row r="27" spans="1:11">
      <c r="A27" s="259" t="s">
        <v>260</v>
      </c>
      <c r="B27" s="340">
        <f>ตาราง3!C28</f>
        <v>636880.87231213867</v>
      </c>
      <c r="C27" s="256">
        <v>100</v>
      </c>
      <c r="D27" s="417">
        <f t="shared" si="0"/>
        <v>636880.87231213867</v>
      </c>
      <c r="E27" s="256"/>
      <c r="F27" s="417">
        <f t="shared" si="1"/>
        <v>0</v>
      </c>
      <c r="G27" s="256"/>
      <c r="H27" s="417">
        <f t="shared" si="2"/>
        <v>0</v>
      </c>
      <c r="I27" s="418"/>
      <c r="J27" s="419">
        <f t="shared" si="3"/>
        <v>0</v>
      </c>
      <c r="K27" s="420"/>
    </row>
    <row r="28" spans="1:11">
      <c r="A28" s="259" t="s">
        <v>380</v>
      </c>
      <c r="B28" s="340">
        <f>ตาราง3!C29</f>
        <v>424587.24820809247</v>
      </c>
      <c r="C28" s="256">
        <v>100</v>
      </c>
      <c r="D28" s="417">
        <f t="shared" ref="D28:D55" si="4">+B28*C28/100</f>
        <v>424587.24820809247</v>
      </c>
      <c r="E28" s="256"/>
      <c r="F28" s="417">
        <f t="shared" ref="F28:F55" si="5">+B28*E28/100</f>
        <v>0</v>
      </c>
      <c r="G28" s="256"/>
      <c r="H28" s="417">
        <f t="shared" ref="H28:H55" si="6">+B28*G28/100</f>
        <v>0</v>
      </c>
      <c r="I28" s="418"/>
      <c r="J28" s="419">
        <f t="shared" ref="J28:J55" si="7">+B28*I28/100</f>
        <v>0</v>
      </c>
      <c r="K28" s="420"/>
    </row>
    <row r="29" spans="1:11">
      <c r="A29" s="259" t="s">
        <v>263</v>
      </c>
      <c r="B29" s="340">
        <f>ตาราง3!C30</f>
        <v>4706486.3189306362</v>
      </c>
      <c r="C29" s="256">
        <v>100</v>
      </c>
      <c r="D29" s="417">
        <f t="shared" si="4"/>
        <v>4706486.3189306362</v>
      </c>
      <c r="E29" s="256"/>
      <c r="F29" s="417">
        <f t="shared" si="5"/>
        <v>0</v>
      </c>
      <c r="G29" s="256"/>
      <c r="H29" s="417">
        <f t="shared" si="6"/>
        <v>0</v>
      </c>
      <c r="I29" s="418"/>
      <c r="J29" s="419">
        <f t="shared" si="7"/>
        <v>0</v>
      </c>
      <c r="K29" s="420"/>
    </row>
    <row r="30" spans="1:11">
      <c r="A30" s="421" t="s">
        <v>265</v>
      </c>
      <c r="B30" s="422">
        <f>ตาราง3!C31</f>
        <v>11713440.071531795</v>
      </c>
      <c r="C30" s="423">
        <v>100</v>
      </c>
      <c r="D30" s="424">
        <f t="shared" si="4"/>
        <v>11713440.071531795</v>
      </c>
      <c r="E30" s="423"/>
      <c r="F30" s="424">
        <f t="shared" si="5"/>
        <v>0</v>
      </c>
      <c r="G30" s="423"/>
      <c r="H30" s="424">
        <f t="shared" si="6"/>
        <v>0</v>
      </c>
      <c r="I30" s="425"/>
      <c r="J30" s="426">
        <f t="shared" si="7"/>
        <v>0</v>
      </c>
      <c r="K30" s="420"/>
    </row>
    <row r="31" spans="1:11">
      <c r="A31" s="409" t="s">
        <v>227</v>
      </c>
      <c r="B31" s="391" t="s">
        <v>3</v>
      </c>
      <c r="C31" s="391" t="s">
        <v>364</v>
      </c>
      <c r="D31" s="410" t="s">
        <v>413</v>
      </c>
      <c r="E31" s="391" t="s">
        <v>364</v>
      </c>
      <c r="F31" s="410" t="s">
        <v>414</v>
      </c>
      <c r="G31" s="391" t="s">
        <v>364</v>
      </c>
      <c r="H31" s="410" t="s">
        <v>415</v>
      </c>
      <c r="I31" s="411" t="s">
        <v>364</v>
      </c>
      <c r="J31" s="427" t="s">
        <v>416</v>
      </c>
      <c r="K31" s="412"/>
    </row>
    <row r="32" spans="1:11">
      <c r="A32" s="259" t="s">
        <v>267</v>
      </c>
      <c r="B32" s="340">
        <f>ตาราง3!C32</f>
        <v>16820492.333092488</v>
      </c>
      <c r="C32" s="256"/>
      <c r="D32" s="417">
        <f t="shared" si="4"/>
        <v>0</v>
      </c>
      <c r="E32" s="256">
        <v>100</v>
      </c>
      <c r="F32" s="417">
        <f t="shared" si="5"/>
        <v>16820492.333092488</v>
      </c>
      <c r="G32" s="256"/>
      <c r="H32" s="417">
        <f t="shared" si="6"/>
        <v>0</v>
      </c>
      <c r="I32" s="418"/>
      <c r="J32" s="419">
        <f t="shared" si="7"/>
        <v>0</v>
      </c>
      <c r="K32" s="420"/>
    </row>
    <row r="33" spans="1:15">
      <c r="A33" s="259" t="s">
        <v>269</v>
      </c>
      <c r="B33" s="340">
        <f>ตาราง3!C33</f>
        <v>5545993.7831502883</v>
      </c>
      <c r="C33" s="256"/>
      <c r="D33" s="417">
        <f t="shared" si="4"/>
        <v>0</v>
      </c>
      <c r="E33" s="256"/>
      <c r="F33" s="417">
        <f t="shared" si="5"/>
        <v>0</v>
      </c>
      <c r="G33" s="256">
        <v>100</v>
      </c>
      <c r="H33" s="417">
        <f t="shared" si="6"/>
        <v>5545993.7831502883</v>
      </c>
      <c r="I33" s="418"/>
      <c r="J33" s="419">
        <f t="shared" si="7"/>
        <v>0</v>
      </c>
      <c r="K33" s="420"/>
    </row>
    <row r="34" spans="1:15" s="430" customFormat="1">
      <c r="A34" s="259" t="s">
        <v>1484</v>
      </c>
      <c r="B34" s="340">
        <f>ตาราง3!C34</f>
        <v>161278.66263005781</v>
      </c>
      <c r="C34" s="256"/>
      <c r="D34" s="417">
        <f t="shared" si="4"/>
        <v>0</v>
      </c>
      <c r="E34" s="256">
        <v>100</v>
      </c>
      <c r="F34" s="417">
        <f t="shared" si="5"/>
        <v>161278.66263005781</v>
      </c>
      <c r="G34" s="428"/>
      <c r="H34" s="417">
        <f t="shared" si="6"/>
        <v>0</v>
      </c>
      <c r="I34" s="429"/>
      <c r="J34" s="419">
        <f t="shared" si="7"/>
        <v>0</v>
      </c>
      <c r="K34" s="420"/>
    </row>
    <row r="35" spans="1:15" s="430" customFormat="1">
      <c r="A35" s="259" t="s">
        <v>273</v>
      </c>
      <c r="B35" s="340">
        <f>ตาราง3!C35</f>
        <v>6373096.3963005785</v>
      </c>
      <c r="C35" s="256"/>
      <c r="D35" s="417">
        <f t="shared" si="4"/>
        <v>0</v>
      </c>
      <c r="E35" s="256">
        <v>100</v>
      </c>
      <c r="F35" s="417">
        <f t="shared" si="5"/>
        <v>6373096.3963005785</v>
      </c>
      <c r="G35" s="428"/>
      <c r="H35" s="417">
        <f t="shared" si="6"/>
        <v>0</v>
      </c>
      <c r="I35" s="429"/>
      <c r="J35" s="419">
        <f t="shared" si="7"/>
        <v>0</v>
      </c>
      <c r="K35" s="420"/>
    </row>
    <row r="36" spans="1:15">
      <c r="A36" s="259" t="s">
        <v>275</v>
      </c>
      <c r="B36" s="340">
        <f>ตาราง3!C36</f>
        <v>7569296.4220809229</v>
      </c>
      <c r="C36" s="256"/>
      <c r="D36" s="417">
        <f t="shared" si="4"/>
        <v>0</v>
      </c>
      <c r="E36" s="256">
        <v>100</v>
      </c>
      <c r="F36" s="417">
        <f t="shared" si="5"/>
        <v>7569296.4220809229</v>
      </c>
      <c r="G36" s="256"/>
      <c r="H36" s="417">
        <f t="shared" si="6"/>
        <v>0</v>
      </c>
      <c r="I36" s="418"/>
      <c r="J36" s="419">
        <f t="shared" si="7"/>
        <v>0</v>
      </c>
      <c r="K36" s="420"/>
    </row>
    <row r="37" spans="1:15">
      <c r="A37" s="259" t="s">
        <v>277</v>
      </c>
      <c r="B37" s="340">
        <f>ตาราง3!C37</f>
        <v>3509040.4257803471</v>
      </c>
      <c r="C37" s="256"/>
      <c r="D37" s="417">
        <f t="shared" si="4"/>
        <v>0</v>
      </c>
      <c r="E37" s="256">
        <v>100</v>
      </c>
      <c r="F37" s="417">
        <f t="shared" si="5"/>
        <v>3509040.4257803471</v>
      </c>
      <c r="G37" s="256"/>
      <c r="H37" s="417">
        <f t="shared" si="6"/>
        <v>0</v>
      </c>
      <c r="I37" s="418"/>
      <c r="J37" s="419">
        <f t="shared" si="7"/>
        <v>0</v>
      </c>
      <c r="K37" s="420"/>
    </row>
    <row r="38" spans="1:15">
      <c r="A38" s="259" t="s">
        <v>1480</v>
      </c>
      <c r="B38" s="340">
        <f>ตาราง3!C38</f>
        <v>4246943.7584104044</v>
      </c>
      <c r="C38" s="256"/>
      <c r="D38" s="417">
        <f t="shared" si="4"/>
        <v>0</v>
      </c>
      <c r="E38" s="256"/>
      <c r="F38" s="417">
        <f t="shared" si="5"/>
        <v>0</v>
      </c>
      <c r="G38" s="256"/>
      <c r="H38" s="417">
        <f t="shared" si="6"/>
        <v>0</v>
      </c>
      <c r="I38" s="418">
        <v>100</v>
      </c>
      <c r="J38" s="419">
        <f t="shared" si="7"/>
        <v>4246943.7584104044</v>
      </c>
      <c r="K38" s="420"/>
    </row>
    <row r="39" spans="1:15">
      <c r="A39" s="259" t="s">
        <v>281</v>
      </c>
      <c r="B39" s="340">
        <f>ตาราง3!C39</f>
        <v>4816140.7910404634</v>
      </c>
      <c r="C39" s="256"/>
      <c r="D39" s="417">
        <f t="shared" si="4"/>
        <v>0</v>
      </c>
      <c r="E39" s="256">
        <v>100</v>
      </c>
      <c r="F39" s="417">
        <f t="shared" si="5"/>
        <v>4816140.7910404634</v>
      </c>
      <c r="G39" s="256"/>
      <c r="H39" s="417">
        <f t="shared" si="6"/>
        <v>0</v>
      </c>
      <c r="I39" s="418"/>
      <c r="J39" s="419">
        <f t="shared" si="7"/>
        <v>0</v>
      </c>
      <c r="K39" s="420"/>
    </row>
    <row r="40" spans="1:15">
      <c r="A40" s="259" t="s">
        <v>283</v>
      </c>
      <c r="B40" s="340">
        <f>ตาราง3!C40</f>
        <v>207325.08915606936</v>
      </c>
      <c r="C40" s="256">
        <v>30</v>
      </c>
      <c r="D40" s="417">
        <f t="shared" si="4"/>
        <v>62197.526746820804</v>
      </c>
      <c r="E40" s="256">
        <v>70</v>
      </c>
      <c r="F40" s="417">
        <f t="shared" si="5"/>
        <v>145127.56240924855</v>
      </c>
      <c r="G40" s="256"/>
      <c r="H40" s="417">
        <f t="shared" si="6"/>
        <v>0</v>
      </c>
      <c r="I40" s="418"/>
      <c r="J40" s="419">
        <f t="shared" si="7"/>
        <v>0</v>
      </c>
      <c r="K40" s="420"/>
    </row>
    <row r="41" spans="1:15">
      <c r="A41" s="259" t="s">
        <v>284</v>
      </c>
      <c r="B41" s="340">
        <f>ตาราง3!C41</f>
        <v>138216.72610404625</v>
      </c>
      <c r="C41" s="256">
        <v>30</v>
      </c>
      <c r="D41" s="417">
        <f t="shared" si="4"/>
        <v>41465.017831213874</v>
      </c>
      <c r="E41" s="256">
        <v>70</v>
      </c>
      <c r="F41" s="417">
        <f t="shared" si="5"/>
        <v>96751.708272832373</v>
      </c>
      <c r="G41" s="256"/>
      <c r="H41" s="417">
        <f t="shared" si="6"/>
        <v>0</v>
      </c>
      <c r="I41" s="418"/>
      <c r="J41" s="419">
        <f t="shared" si="7"/>
        <v>0</v>
      </c>
      <c r="K41" s="420"/>
    </row>
    <row r="42" spans="1:15">
      <c r="A42" s="259" t="s">
        <v>286</v>
      </c>
      <c r="B42" s="340">
        <f>ตาราง3!C42</f>
        <v>5605127.2163005779</v>
      </c>
      <c r="C42" s="256">
        <v>40</v>
      </c>
      <c r="D42" s="417">
        <f>+B42*C42/100</f>
        <v>2242050.8865202311</v>
      </c>
      <c r="E42" s="256">
        <v>60</v>
      </c>
      <c r="F42" s="417">
        <f>+B42*E42/100</f>
        <v>3363076.3297803467</v>
      </c>
      <c r="G42" s="256"/>
      <c r="H42" s="417">
        <f>+B42*G42/100</f>
        <v>0</v>
      </c>
      <c r="I42" s="418"/>
      <c r="J42" s="419">
        <f>+B42*I42/100</f>
        <v>0</v>
      </c>
      <c r="K42" s="420"/>
    </row>
    <row r="43" spans="1:15">
      <c r="A43" s="907" t="s">
        <v>1548</v>
      </c>
      <c r="B43" s="340">
        <f>ตาราง3!C43</f>
        <v>143278.66263005781</v>
      </c>
      <c r="C43" s="256"/>
      <c r="D43" s="417">
        <f>+B43*C43/100</f>
        <v>0</v>
      </c>
      <c r="E43" s="256"/>
      <c r="F43" s="417">
        <f>+B43*E43/100</f>
        <v>0</v>
      </c>
      <c r="G43" s="256"/>
      <c r="H43" s="417">
        <f>+B43*G43/100</f>
        <v>0</v>
      </c>
      <c r="I43" s="418">
        <v>100</v>
      </c>
      <c r="J43" s="419">
        <f>+B43*I43/100</f>
        <v>143278.66263005781</v>
      </c>
      <c r="K43" s="420"/>
    </row>
    <row r="44" spans="1:15">
      <c r="A44" s="431" t="s">
        <v>360</v>
      </c>
      <c r="B44" s="340"/>
      <c r="C44" s="256"/>
      <c r="D44" s="417">
        <f t="shared" si="4"/>
        <v>0</v>
      </c>
      <c r="E44" s="256"/>
      <c r="F44" s="417">
        <f t="shared" si="5"/>
        <v>0</v>
      </c>
      <c r="G44" s="256"/>
      <c r="H44" s="417">
        <f t="shared" si="6"/>
        <v>0</v>
      </c>
      <c r="I44" s="418"/>
      <c r="J44" s="419">
        <f t="shared" si="7"/>
        <v>0</v>
      </c>
      <c r="K44" s="420"/>
      <c r="M44" s="305"/>
      <c r="N44" s="305"/>
      <c r="O44" s="305"/>
    </row>
    <row r="45" spans="1:15">
      <c r="A45" s="267" t="str">
        <f>+'[2]3.2'!A110</f>
        <v>1.1. ควบคุม กำกับ ดูแลการบริหารงานให้เป็นไปตามภาระกิจของโรงพยาบาล</v>
      </c>
      <c r="B45" s="340">
        <f>ตาราง3!C47</f>
        <v>1370078.6626300577</v>
      </c>
      <c r="C45" s="256">
        <v>25</v>
      </c>
      <c r="D45" s="417">
        <f t="shared" si="4"/>
        <v>342519.66565751442</v>
      </c>
      <c r="E45" s="256">
        <v>25</v>
      </c>
      <c r="F45" s="417">
        <f t="shared" si="5"/>
        <v>342519.66565751442</v>
      </c>
      <c r="G45" s="256">
        <v>25</v>
      </c>
      <c r="H45" s="417">
        <f t="shared" si="6"/>
        <v>342519.66565751442</v>
      </c>
      <c r="I45" s="418">
        <v>25</v>
      </c>
      <c r="J45" s="419">
        <f t="shared" si="7"/>
        <v>342519.66565751442</v>
      </c>
      <c r="K45" s="420"/>
      <c r="L45" s="305"/>
      <c r="M45" s="305"/>
      <c r="N45" s="305"/>
      <c r="O45" s="305"/>
    </row>
    <row r="46" spans="1:15">
      <c r="A46" s="267" t="str">
        <f>+'[2]3.2'!A113</f>
        <v>2.1. ตรวจสอบและกลั่นกรองเรื่องต่างๆ เพื่อเสนอผู้บังคับบัญชา สั่งการ</v>
      </c>
      <c r="B46" s="340">
        <f>ตาราง3!C48</f>
        <v>916318.66263005789</v>
      </c>
      <c r="C46" s="256">
        <v>25</v>
      </c>
      <c r="D46" s="417">
        <f t="shared" si="4"/>
        <v>229079.66565751447</v>
      </c>
      <c r="E46" s="256">
        <v>25</v>
      </c>
      <c r="F46" s="417">
        <f t="shared" si="5"/>
        <v>229079.66565751447</v>
      </c>
      <c r="G46" s="256">
        <v>25</v>
      </c>
      <c r="H46" s="417">
        <f t="shared" si="6"/>
        <v>229079.66565751447</v>
      </c>
      <c r="I46" s="418">
        <v>25</v>
      </c>
      <c r="J46" s="419">
        <f t="shared" si="7"/>
        <v>229079.66565751447</v>
      </c>
      <c r="K46" s="420"/>
      <c r="L46" s="305"/>
      <c r="M46" s="305"/>
      <c r="N46" s="305"/>
      <c r="O46" s="305"/>
    </row>
    <row r="47" spans="1:15">
      <c r="A47" s="267" t="str">
        <f>+'[2]3.2'!A116</f>
        <v>3.1. ร่างโต้ตอบหนังสือ ภายในหน่วยงานและ ภายนอกหน่วยงาน</v>
      </c>
      <c r="B47" s="340">
        <f>ตาราง3!C49</f>
        <v>1254055.2152572256</v>
      </c>
      <c r="C47" s="256">
        <v>25</v>
      </c>
      <c r="D47" s="417">
        <f t="shared" si="4"/>
        <v>313513.80381430639</v>
      </c>
      <c r="E47" s="256">
        <v>25</v>
      </c>
      <c r="F47" s="417">
        <f t="shared" si="5"/>
        <v>313513.80381430639</v>
      </c>
      <c r="G47" s="256">
        <v>25</v>
      </c>
      <c r="H47" s="417">
        <f t="shared" si="6"/>
        <v>313513.80381430639</v>
      </c>
      <c r="I47" s="418">
        <v>25</v>
      </c>
      <c r="J47" s="419">
        <f t="shared" si="7"/>
        <v>313513.80381430639</v>
      </c>
      <c r="K47" s="420"/>
      <c r="L47" s="305"/>
      <c r="M47" s="305"/>
      <c r="N47" s="305"/>
      <c r="O47" s="305"/>
    </row>
    <row r="48" spans="1:15">
      <c r="A48" s="267" t="str">
        <f>+'[2]3.2'!A117</f>
        <v>3.2.  รับ  ส่งจดหมาย พัสดุ ไปรษณีย์ของทางราชการ</v>
      </c>
      <c r="B48" s="340">
        <f>ตาราง3!C50</f>
        <v>675260.50052312156</v>
      </c>
      <c r="C48" s="256">
        <v>25</v>
      </c>
      <c r="D48" s="417">
        <f t="shared" si="4"/>
        <v>168815.12513078039</v>
      </c>
      <c r="E48" s="256">
        <v>25</v>
      </c>
      <c r="F48" s="417">
        <f t="shared" si="5"/>
        <v>168815.12513078039</v>
      </c>
      <c r="G48" s="256">
        <v>25</v>
      </c>
      <c r="H48" s="417">
        <f t="shared" si="6"/>
        <v>168815.12513078039</v>
      </c>
      <c r="I48" s="418">
        <v>25</v>
      </c>
      <c r="J48" s="419">
        <f t="shared" si="7"/>
        <v>168815.12513078039</v>
      </c>
      <c r="K48" s="420"/>
      <c r="L48" s="305"/>
      <c r="M48" s="305"/>
      <c r="N48" s="305"/>
      <c r="O48" s="305"/>
    </row>
    <row r="49" spans="1:15">
      <c r="A49" s="267" t="str">
        <f>+'[2]3.2'!A123</f>
        <v>4.1. ให้บริการเจ้าหน้าที่ภายในจังหวัด</v>
      </c>
      <c r="B49" s="340">
        <f>ตาราง3!C51</f>
        <v>609784.9575231215</v>
      </c>
      <c r="C49" s="256">
        <v>25</v>
      </c>
      <c r="D49" s="417">
        <f t="shared" si="4"/>
        <v>152446.23938078037</v>
      </c>
      <c r="E49" s="256">
        <v>25</v>
      </c>
      <c r="F49" s="417">
        <f t="shared" si="5"/>
        <v>152446.23938078037</v>
      </c>
      <c r="G49" s="256">
        <v>25</v>
      </c>
      <c r="H49" s="417">
        <f t="shared" si="6"/>
        <v>152446.23938078037</v>
      </c>
      <c r="I49" s="418">
        <v>25</v>
      </c>
      <c r="J49" s="419">
        <f t="shared" si="7"/>
        <v>152446.23938078037</v>
      </c>
      <c r="K49" s="420"/>
      <c r="L49" s="305"/>
      <c r="M49" s="305"/>
      <c r="N49" s="305"/>
      <c r="O49" s="305"/>
    </row>
    <row r="50" spans="1:15">
      <c r="A50" s="267" t="str">
        <f>+'[2]3.2'!A124</f>
        <v>4.2. ให้บริการเจ้าหน้าที่ต่างจังหวัด</v>
      </c>
      <c r="B50" s="340">
        <f>ตาราง3!C52</f>
        <v>261336.41036705207</v>
      </c>
      <c r="C50" s="256">
        <v>25</v>
      </c>
      <c r="D50" s="417">
        <f t="shared" si="4"/>
        <v>65334.102591763018</v>
      </c>
      <c r="E50" s="256">
        <v>25</v>
      </c>
      <c r="F50" s="417">
        <f t="shared" si="5"/>
        <v>65334.102591763018</v>
      </c>
      <c r="G50" s="256">
        <v>25</v>
      </c>
      <c r="H50" s="417">
        <f t="shared" si="6"/>
        <v>65334.102591763018</v>
      </c>
      <c r="I50" s="418">
        <v>25</v>
      </c>
      <c r="J50" s="419">
        <f t="shared" si="7"/>
        <v>65334.102591763018</v>
      </c>
      <c r="K50" s="420"/>
      <c r="L50" s="305"/>
      <c r="M50" s="305"/>
      <c r="N50" s="305"/>
      <c r="O50" s="305"/>
    </row>
    <row r="51" spans="1:15">
      <c r="A51" s="267" t="str">
        <f>+'[2]3.2'!A127</f>
        <v>5.1.  ดูแล บำรุงรักษาเครื่องมือทางการแพทย์ต่างๆ</v>
      </c>
      <c r="B51" s="340">
        <f>ตาราง3!C53</f>
        <v>1853844.4257803471</v>
      </c>
      <c r="C51" s="256">
        <v>25</v>
      </c>
      <c r="D51" s="417">
        <f t="shared" si="4"/>
        <v>463461.10644508677</v>
      </c>
      <c r="E51" s="256">
        <v>25</v>
      </c>
      <c r="F51" s="417">
        <f t="shared" si="5"/>
        <v>463461.10644508677</v>
      </c>
      <c r="G51" s="256">
        <v>25</v>
      </c>
      <c r="H51" s="417">
        <f t="shared" si="6"/>
        <v>463461.10644508677</v>
      </c>
      <c r="I51" s="418">
        <v>25</v>
      </c>
      <c r="J51" s="419">
        <f t="shared" si="7"/>
        <v>463461.10644508677</v>
      </c>
      <c r="K51" s="420"/>
      <c r="L51" s="305"/>
      <c r="M51" s="305"/>
      <c r="N51" s="305"/>
      <c r="O51" s="305"/>
    </row>
    <row r="52" spans="1:15">
      <c r="A52" s="267" t="str">
        <f>+'[2]3.2'!A130</f>
        <v>6.1. จำนวนรายการเอกสารเบิกจ่ายเงินในระบบ GFMIS</v>
      </c>
      <c r="B52" s="340">
        <f>ตาราง3!C54</f>
        <v>2815459.883670521</v>
      </c>
      <c r="C52" s="256">
        <v>25</v>
      </c>
      <c r="D52" s="417">
        <f t="shared" si="4"/>
        <v>703864.97091763024</v>
      </c>
      <c r="E52" s="256">
        <v>25</v>
      </c>
      <c r="F52" s="417">
        <f t="shared" si="5"/>
        <v>703864.97091763024</v>
      </c>
      <c r="G52" s="256">
        <v>25</v>
      </c>
      <c r="H52" s="417">
        <f t="shared" si="6"/>
        <v>703864.97091763024</v>
      </c>
      <c r="I52" s="418">
        <v>25</v>
      </c>
      <c r="J52" s="419">
        <f t="shared" si="7"/>
        <v>703864.97091763024</v>
      </c>
      <c r="K52" s="420"/>
      <c r="L52" s="305"/>
      <c r="M52" s="305"/>
      <c r="N52" s="305"/>
      <c r="O52" s="305"/>
    </row>
    <row r="53" spans="1:15">
      <c r="A53" s="267" t="str">
        <f>+'[2]3.2'!A133</f>
        <v>7.1. จำนวนครั้งของการจัดซื้อในระบบ GFMIS</v>
      </c>
      <c r="B53" s="340">
        <f>ตาราง3!C55</f>
        <v>2005225.578410405</v>
      </c>
      <c r="C53" s="256">
        <v>25</v>
      </c>
      <c r="D53" s="417">
        <f t="shared" si="4"/>
        <v>501306.39460260124</v>
      </c>
      <c r="E53" s="256">
        <v>25</v>
      </c>
      <c r="F53" s="417">
        <f t="shared" si="5"/>
        <v>501306.39460260124</v>
      </c>
      <c r="G53" s="256">
        <v>25</v>
      </c>
      <c r="H53" s="417">
        <f t="shared" si="6"/>
        <v>501306.39460260124</v>
      </c>
      <c r="I53" s="418">
        <v>25</v>
      </c>
      <c r="J53" s="419">
        <f t="shared" si="7"/>
        <v>501306.39460260124</v>
      </c>
      <c r="K53" s="420"/>
      <c r="L53" s="305"/>
      <c r="M53" s="305"/>
      <c r="N53" s="305"/>
      <c r="O53" s="305"/>
    </row>
    <row r="54" spans="1:15">
      <c r="A54" s="267" t="str">
        <f>+'[2]3.2'!A136</f>
        <v>8.1. จัดทำแผนเงินงบประมาณ/เงินบำรุง</v>
      </c>
      <c r="B54" s="340">
        <f>ตาราง3!C56</f>
        <v>511958.4489450868</v>
      </c>
      <c r="C54" s="256">
        <v>25</v>
      </c>
      <c r="D54" s="417">
        <f t="shared" si="4"/>
        <v>127989.6122362717</v>
      </c>
      <c r="E54" s="256">
        <v>25</v>
      </c>
      <c r="F54" s="417">
        <f t="shared" si="5"/>
        <v>127989.6122362717</v>
      </c>
      <c r="G54" s="256">
        <v>25</v>
      </c>
      <c r="H54" s="417">
        <f t="shared" si="6"/>
        <v>127989.6122362717</v>
      </c>
      <c r="I54" s="418">
        <v>25</v>
      </c>
      <c r="J54" s="419">
        <f t="shared" si="7"/>
        <v>127989.6122362717</v>
      </c>
      <c r="K54" s="420"/>
      <c r="L54" s="305"/>
      <c r="M54" s="305"/>
      <c r="N54" s="305"/>
      <c r="O54" s="305"/>
    </row>
    <row r="55" spans="1:15">
      <c r="A55" s="267" t="str">
        <f>+'[2]3.2'!A137</f>
        <v>8.2. ตรวจสอบและรายงานผลการดำเนินงาน</v>
      </c>
      <c r="B55" s="340">
        <f>ตาราง3!C57</f>
        <v>511958.4489450868</v>
      </c>
      <c r="C55" s="256">
        <v>25</v>
      </c>
      <c r="D55" s="417">
        <f t="shared" si="4"/>
        <v>127989.6122362717</v>
      </c>
      <c r="E55" s="256">
        <v>25</v>
      </c>
      <c r="F55" s="417">
        <f t="shared" si="5"/>
        <v>127989.6122362717</v>
      </c>
      <c r="G55" s="256">
        <v>25</v>
      </c>
      <c r="H55" s="417">
        <f t="shared" si="6"/>
        <v>127989.6122362717</v>
      </c>
      <c r="I55" s="418">
        <v>25</v>
      </c>
      <c r="J55" s="419">
        <f t="shared" si="7"/>
        <v>127989.6122362717</v>
      </c>
      <c r="K55" s="420"/>
      <c r="L55" s="305"/>
      <c r="M55" s="305"/>
      <c r="N55" s="305"/>
      <c r="O55" s="305"/>
    </row>
    <row r="56" spans="1:15">
      <c r="A56" s="267" t="str">
        <f>+'[2]3.2'!A140</f>
        <v>9.1. ประสานสิทธิและส่งต่อผู้ป่วย</v>
      </c>
      <c r="B56" s="340">
        <f>ตาราง3!C58</f>
        <v>318461.16368208098</v>
      </c>
      <c r="C56" s="256">
        <v>25</v>
      </c>
      <c r="D56" s="417">
        <f t="shared" ref="D56:D76" si="8">+B56*C56/100</f>
        <v>79615.290920520245</v>
      </c>
      <c r="E56" s="256">
        <v>25</v>
      </c>
      <c r="F56" s="417">
        <f t="shared" ref="F56:F76" si="9">+B56*E56/100</f>
        <v>79615.290920520245</v>
      </c>
      <c r="G56" s="256">
        <v>25</v>
      </c>
      <c r="H56" s="417">
        <f t="shared" ref="H56:H76" si="10">+B56*G56/100</f>
        <v>79615.290920520245</v>
      </c>
      <c r="I56" s="256">
        <v>25</v>
      </c>
      <c r="J56" s="419">
        <f t="shared" ref="J56:J76" si="11">+B56*I56/100</f>
        <v>79615.290920520245</v>
      </c>
      <c r="K56" s="420"/>
      <c r="L56" s="305"/>
      <c r="M56" s="305"/>
      <c r="N56" s="305"/>
      <c r="O56" s="305"/>
    </row>
    <row r="57" spans="1:15">
      <c r="A57" s="267" t="str">
        <f>+'[2]3.2'!A141</f>
        <v>9.2. ดำเนินการเรียกเก็บเงินค่ารักษาพยาบาลสิทธิทุกประเภท</v>
      </c>
      <c r="B57" s="340">
        <f>ตาราง3!C59</f>
        <v>636922.32736416196</v>
      </c>
      <c r="C57" s="256">
        <v>25</v>
      </c>
      <c r="D57" s="417">
        <f t="shared" si="8"/>
        <v>159230.58184104049</v>
      </c>
      <c r="E57" s="256">
        <v>25</v>
      </c>
      <c r="F57" s="417">
        <f t="shared" si="9"/>
        <v>159230.58184104049</v>
      </c>
      <c r="G57" s="256">
        <v>25</v>
      </c>
      <c r="H57" s="417">
        <f t="shared" si="10"/>
        <v>159230.58184104049</v>
      </c>
      <c r="I57" s="256">
        <v>25</v>
      </c>
      <c r="J57" s="419">
        <f t="shared" si="11"/>
        <v>159230.58184104049</v>
      </c>
      <c r="K57" s="420"/>
      <c r="L57" s="305"/>
      <c r="M57" s="305"/>
      <c r="N57" s="305"/>
      <c r="O57" s="305"/>
    </row>
    <row r="58" spans="1:15">
      <c r="A58" s="252" t="s">
        <v>1533</v>
      </c>
      <c r="B58" s="340">
        <f>ตาราง3!C60</f>
        <v>636922.32736416196</v>
      </c>
      <c r="C58" s="256">
        <v>25</v>
      </c>
      <c r="D58" s="417">
        <f t="shared" si="8"/>
        <v>159230.58184104049</v>
      </c>
      <c r="E58" s="256">
        <v>25</v>
      </c>
      <c r="F58" s="417">
        <f t="shared" si="9"/>
        <v>159230.58184104049</v>
      </c>
      <c r="G58" s="256">
        <v>25</v>
      </c>
      <c r="H58" s="417">
        <f t="shared" si="10"/>
        <v>159230.58184104049</v>
      </c>
      <c r="I58" s="256">
        <v>25</v>
      </c>
      <c r="J58" s="419">
        <f t="shared" si="11"/>
        <v>159230.58184104049</v>
      </c>
      <c r="K58" s="420"/>
      <c r="L58" s="305"/>
      <c r="M58" s="305"/>
      <c r="N58" s="305"/>
      <c r="O58" s="305"/>
    </row>
    <row r="59" spans="1:15">
      <c r="A59" s="267" t="str">
        <f>+'[2]3.2'!A144</f>
        <v>10.1. จำนวนบุคคลากรเดินทางไปประชุม/สัมมนา</v>
      </c>
      <c r="B59" s="340">
        <f>ตาราง3!C61</f>
        <v>516919.31263005786</v>
      </c>
      <c r="C59" s="256">
        <v>25</v>
      </c>
      <c r="D59" s="417">
        <f t="shared" si="8"/>
        <v>129229.82815751446</v>
      </c>
      <c r="E59" s="256">
        <v>25</v>
      </c>
      <c r="F59" s="417">
        <f t="shared" si="9"/>
        <v>129229.82815751446</v>
      </c>
      <c r="G59" s="256">
        <v>25</v>
      </c>
      <c r="H59" s="417">
        <f t="shared" si="10"/>
        <v>129229.82815751446</v>
      </c>
      <c r="I59" s="418">
        <v>25</v>
      </c>
      <c r="J59" s="419">
        <f t="shared" si="11"/>
        <v>129229.82815751446</v>
      </c>
      <c r="K59" s="420"/>
      <c r="L59" s="305"/>
      <c r="M59" s="305"/>
      <c r="N59" s="305"/>
      <c r="O59" s="305"/>
    </row>
    <row r="60" spans="1:15">
      <c r="A60" s="267" t="str">
        <f>+'[2]3.2'!A147</f>
        <v>11.1. ดำเนินการเกี่ยวกับการพัฒนาทรัพยากรบุคคลในหน่วยงาน</v>
      </c>
      <c r="B60" s="340">
        <f>ตาราง3!C62</f>
        <v>497701.81526011566</v>
      </c>
      <c r="C60" s="256">
        <v>25</v>
      </c>
      <c r="D60" s="417">
        <f t="shared" si="8"/>
        <v>124425.45381502892</v>
      </c>
      <c r="E60" s="256">
        <v>25</v>
      </c>
      <c r="F60" s="417">
        <f t="shared" si="9"/>
        <v>124425.45381502892</v>
      </c>
      <c r="G60" s="256">
        <v>25</v>
      </c>
      <c r="H60" s="417">
        <f t="shared" si="10"/>
        <v>124425.45381502892</v>
      </c>
      <c r="I60" s="418">
        <v>25</v>
      </c>
      <c r="J60" s="419">
        <f t="shared" si="11"/>
        <v>124425.45381502892</v>
      </c>
      <c r="K60" s="420"/>
      <c r="L60" s="305"/>
      <c r="M60" s="305"/>
      <c r="N60" s="305"/>
      <c r="O60" s="305"/>
    </row>
    <row r="61" spans="1:15">
      <c r="A61" s="267" t="str">
        <f>+'[2]3.2'!A150</f>
        <v>12.1. ดำเนินการเกี่ยวกับการประเมินผลการปฏิบัติงานและสมรรถนะเพื่อการเลื่อนเงินเดือน</v>
      </c>
      <c r="B61" s="340">
        <f>ตาราง3!C63</f>
        <v>769761.81526011566</v>
      </c>
      <c r="C61" s="256">
        <v>25</v>
      </c>
      <c r="D61" s="417">
        <f t="shared" si="8"/>
        <v>192440.45381502892</v>
      </c>
      <c r="E61" s="256">
        <v>25</v>
      </c>
      <c r="F61" s="417">
        <f t="shared" si="9"/>
        <v>192440.45381502892</v>
      </c>
      <c r="G61" s="256">
        <v>25</v>
      </c>
      <c r="H61" s="417">
        <f t="shared" si="10"/>
        <v>192440.45381502892</v>
      </c>
      <c r="I61" s="418">
        <v>25</v>
      </c>
      <c r="J61" s="419">
        <f t="shared" si="11"/>
        <v>192440.45381502892</v>
      </c>
      <c r="K61" s="420"/>
      <c r="L61" s="305"/>
      <c r="M61" s="305"/>
      <c r="N61" s="305"/>
      <c r="O61" s="305"/>
    </row>
    <row r="62" spans="1:15">
      <c r="A62" s="267" t="str">
        <f>+'[2]3.2'!A153</f>
        <v>13.1. บริการต้อนรับผู้ป่วยนอก</v>
      </c>
      <c r="B62" s="340">
        <f>ตาราง3!C64</f>
        <v>531368.1205202312</v>
      </c>
      <c r="C62" s="256">
        <v>25</v>
      </c>
      <c r="D62" s="417">
        <f t="shared" si="8"/>
        <v>132842.0301300578</v>
      </c>
      <c r="E62" s="256">
        <v>25</v>
      </c>
      <c r="F62" s="417">
        <f t="shared" si="9"/>
        <v>132842.0301300578</v>
      </c>
      <c r="G62" s="256">
        <v>25</v>
      </c>
      <c r="H62" s="417">
        <f t="shared" si="10"/>
        <v>132842.0301300578</v>
      </c>
      <c r="I62" s="418">
        <v>25</v>
      </c>
      <c r="J62" s="419">
        <f t="shared" si="11"/>
        <v>132842.0301300578</v>
      </c>
      <c r="K62" s="420"/>
      <c r="L62" s="305"/>
      <c r="M62" s="305"/>
      <c r="N62" s="305"/>
      <c r="O62" s="305"/>
    </row>
    <row r="63" spans="1:15">
      <c r="A63" s="409" t="s">
        <v>227</v>
      </c>
      <c r="B63" s="391" t="s">
        <v>3</v>
      </c>
      <c r="C63" s="391" t="s">
        <v>364</v>
      </c>
      <c r="D63" s="410" t="s">
        <v>413</v>
      </c>
      <c r="E63" s="391" t="s">
        <v>364</v>
      </c>
      <c r="F63" s="410" t="s">
        <v>414</v>
      </c>
      <c r="G63" s="391" t="s">
        <v>364</v>
      </c>
      <c r="H63" s="410" t="s">
        <v>415</v>
      </c>
      <c r="I63" s="411" t="s">
        <v>364</v>
      </c>
      <c r="J63" s="427" t="s">
        <v>416</v>
      </c>
      <c r="K63" s="412"/>
    </row>
    <row r="64" spans="1:15">
      <c r="A64" s="267" t="str">
        <f>+'[2]3.2'!A156</f>
        <v>14.1. ตรวจสอบและกลั่นกรองหนังสือเพื่อเสนอผู้อำนวยการ</v>
      </c>
      <c r="B64" s="340">
        <f>ตาราง3!C65</f>
        <v>531368.1205202312</v>
      </c>
      <c r="C64" s="256">
        <v>25</v>
      </c>
      <c r="D64" s="417">
        <f t="shared" si="8"/>
        <v>132842.0301300578</v>
      </c>
      <c r="E64" s="256">
        <v>25</v>
      </c>
      <c r="F64" s="417">
        <f t="shared" si="9"/>
        <v>132842.0301300578</v>
      </c>
      <c r="G64" s="256">
        <v>25</v>
      </c>
      <c r="H64" s="417">
        <f t="shared" si="10"/>
        <v>132842.0301300578</v>
      </c>
      <c r="I64" s="418">
        <v>25</v>
      </c>
      <c r="J64" s="419">
        <f t="shared" si="11"/>
        <v>132842.0301300578</v>
      </c>
      <c r="K64" s="420"/>
      <c r="L64" s="305"/>
      <c r="M64" s="305"/>
      <c r="N64" s="305"/>
      <c r="O64" s="305"/>
    </row>
    <row r="65" spans="1:15">
      <c r="A65" s="267" t="str">
        <f>+'[2]3.2'!A159</f>
        <v>15.1. ให้รหัสโรคตามบัญชีจำแนกโรคของผู้ป่วยนอก</v>
      </c>
      <c r="B65" s="340">
        <f>ตาราง3!C66</f>
        <v>548422.87231213879</v>
      </c>
      <c r="C65" s="256">
        <v>25</v>
      </c>
      <c r="D65" s="417">
        <f t="shared" si="8"/>
        <v>137105.7180780347</v>
      </c>
      <c r="E65" s="256">
        <v>25</v>
      </c>
      <c r="F65" s="417">
        <f t="shared" si="9"/>
        <v>137105.7180780347</v>
      </c>
      <c r="G65" s="256">
        <v>25</v>
      </c>
      <c r="H65" s="417">
        <f t="shared" si="10"/>
        <v>137105.7180780347</v>
      </c>
      <c r="I65" s="418">
        <v>25</v>
      </c>
      <c r="J65" s="419">
        <f t="shared" si="11"/>
        <v>137105.7180780347</v>
      </c>
      <c r="K65" s="420"/>
      <c r="L65" s="305"/>
      <c r="M65" s="305"/>
      <c r="N65" s="305"/>
      <c r="O65" s="305"/>
    </row>
    <row r="66" spans="1:15">
      <c r="A66" s="267" t="str">
        <f>+'[2]3.2'!A160</f>
        <v>15.2. ให้รหัสโรคตามบัญชีจำแนกโรคของผู้ป่วยใน</v>
      </c>
      <c r="B66" s="340">
        <f>ตาราง3!C67</f>
        <v>365615.24820809253</v>
      </c>
      <c r="C66" s="256">
        <v>25</v>
      </c>
      <c r="D66" s="417">
        <f t="shared" si="8"/>
        <v>91403.812052023131</v>
      </c>
      <c r="E66" s="256">
        <v>25</v>
      </c>
      <c r="F66" s="417">
        <f t="shared" si="9"/>
        <v>91403.812052023131</v>
      </c>
      <c r="G66" s="256">
        <v>25</v>
      </c>
      <c r="H66" s="417">
        <f t="shared" si="10"/>
        <v>91403.812052023131</v>
      </c>
      <c r="I66" s="418">
        <v>25</v>
      </c>
      <c r="J66" s="419">
        <f t="shared" si="11"/>
        <v>91403.812052023131</v>
      </c>
      <c r="K66" s="420"/>
      <c r="L66" s="305"/>
      <c r="M66" s="305"/>
      <c r="N66" s="305"/>
      <c r="O66" s="305"/>
    </row>
    <row r="67" spans="1:15">
      <c r="A67" s="267" t="s">
        <v>1491</v>
      </c>
      <c r="B67" s="340">
        <f>ตาราง3!C68</f>
        <v>723466.4627052024</v>
      </c>
      <c r="C67" s="256">
        <v>25</v>
      </c>
      <c r="D67" s="417">
        <f t="shared" si="8"/>
        <v>180866.6156763006</v>
      </c>
      <c r="E67" s="256">
        <v>25</v>
      </c>
      <c r="F67" s="417">
        <f t="shared" si="9"/>
        <v>180866.6156763006</v>
      </c>
      <c r="G67" s="256">
        <v>25</v>
      </c>
      <c r="H67" s="417">
        <f t="shared" si="10"/>
        <v>180866.6156763006</v>
      </c>
      <c r="I67" s="418">
        <v>25</v>
      </c>
      <c r="J67" s="419">
        <f t="shared" si="11"/>
        <v>180866.6156763006</v>
      </c>
      <c r="K67" s="420"/>
      <c r="L67" s="305"/>
      <c r="M67" s="305"/>
      <c r="N67" s="305"/>
      <c r="O67" s="305"/>
    </row>
    <row r="68" spans="1:15">
      <c r="A68" s="267" t="s">
        <v>1492</v>
      </c>
      <c r="B68" s="340">
        <f>ตาราง3!C69</f>
        <v>723466.4627052024</v>
      </c>
      <c r="C68" s="256">
        <v>25</v>
      </c>
      <c r="D68" s="417">
        <f t="shared" si="8"/>
        <v>180866.6156763006</v>
      </c>
      <c r="E68" s="256">
        <v>25</v>
      </c>
      <c r="F68" s="417">
        <f t="shared" si="9"/>
        <v>180866.6156763006</v>
      </c>
      <c r="G68" s="256">
        <v>25</v>
      </c>
      <c r="H68" s="417">
        <f t="shared" si="10"/>
        <v>180866.6156763006</v>
      </c>
      <c r="I68" s="418">
        <v>25</v>
      </c>
      <c r="J68" s="419">
        <f t="shared" si="11"/>
        <v>180866.6156763006</v>
      </c>
      <c r="K68" s="420"/>
      <c r="L68" s="305"/>
      <c r="M68" s="305"/>
      <c r="N68" s="305"/>
      <c r="O68" s="305"/>
    </row>
    <row r="69" spans="1:15">
      <c r="A69" s="267" t="s">
        <v>1496</v>
      </c>
      <c r="B69" s="340">
        <f>ตาราง3!C70</f>
        <v>620114.11089017347</v>
      </c>
      <c r="C69" s="256">
        <v>25</v>
      </c>
      <c r="D69" s="417">
        <f t="shared" si="8"/>
        <v>155028.52772254337</v>
      </c>
      <c r="E69" s="256">
        <v>25</v>
      </c>
      <c r="F69" s="417">
        <f t="shared" si="9"/>
        <v>155028.52772254337</v>
      </c>
      <c r="G69" s="256">
        <v>25</v>
      </c>
      <c r="H69" s="417">
        <f t="shared" si="10"/>
        <v>155028.52772254337</v>
      </c>
      <c r="I69" s="418">
        <v>25</v>
      </c>
      <c r="J69" s="419">
        <f t="shared" si="11"/>
        <v>155028.52772254337</v>
      </c>
      <c r="K69" s="420"/>
      <c r="L69" s="305"/>
      <c r="M69" s="305"/>
      <c r="N69" s="305"/>
      <c r="O69" s="305"/>
    </row>
    <row r="70" spans="1:15">
      <c r="A70" s="267" t="str">
        <f>+'[2]3.2'!A168</f>
        <v>17.1.ด้านจัดการข้อมูล</v>
      </c>
      <c r="B70" s="340">
        <f>ตาราง3!C71</f>
        <v>908028.12052023131</v>
      </c>
      <c r="C70" s="256">
        <v>25</v>
      </c>
      <c r="D70" s="417">
        <f t="shared" si="8"/>
        <v>227007.03013005783</v>
      </c>
      <c r="E70" s="256">
        <v>25</v>
      </c>
      <c r="F70" s="417">
        <f t="shared" si="9"/>
        <v>227007.03013005783</v>
      </c>
      <c r="G70" s="256">
        <v>25</v>
      </c>
      <c r="H70" s="417">
        <f t="shared" si="10"/>
        <v>227007.03013005783</v>
      </c>
      <c r="I70" s="418">
        <v>25</v>
      </c>
      <c r="J70" s="419">
        <f t="shared" si="11"/>
        <v>227007.03013005783</v>
      </c>
      <c r="K70" s="420"/>
      <c r="L70" s="305"/>
      <c r="M70" s="305"/>
      <c r="N70" s="305"/>
      <c r="O70" s="305"/>
    </row>
    <row r="71" spans="1:15">
      <c r="A71" s="267" t="s">
        <v>1513</v>
      </c>
      <c r="B71" s="340">
        <f>ตาราง3!C72</f>
        <v>674054.96789017355</v>
      </c>
      <c r="C71" s="256">
        <v>25</v>
      </c>
      <c r="D71" s="417">
        <f t="shared" si="8"/>
        <v>168513.74197254339</v>
      </c>
      <c r="E71" s="256">
        <v>25</v>
      </c>
      <c r="F71" s="417">
        <f t="shared" si="9"/>
        <v>168513.74197254339</v>
      </c>
      <c r="G71" s="256">
        <v>25</v>
      </c>
      <c r="H71" s="417">
        <f t="shared" si="10"/>
        <v>168513.74197254339</v>
      </c>
      <c r="I71" s="418">
        <v>25</v>
      </c>
      <c r="J71" s="419">
        <f t="shared" si="11"/>
        <v>168513.74197254339</v>
      </c>
      <c r="K71" s="420"/>
      <c r="L71" s="305"/>
      <c r="M71" s="305"/>
      <c r="N71" s="305"/>
      <c r="O71" s="305"/>
    </row>
    <row r="72" spans="1:15">
      <c r="A72" s="267" t="s">
        <v>1507</v>
      </c>
      <c r="B72" s="340">
        <f>ตาราง3!C73</f>
        <v>1177684.9678901734</v>
      </c>
      <c r="C72" s="256">
        <v>25</v>
      </c>
      <c r="D72" s="417">
        <f t="shared" si="8"/>
        <v>294421.24197254336</v>
      </c>
      <c r="E72" s="256">
        <v>25</v>
      </c>
      <c r="F72" s="417">
        <f t="shared" si="9"/>
        <v>294421.24197254336</v>
      </c>
      <c r="G72" s="256">
        <v>25</v>
      </c>
      <c r="H72" s="417">
        <f t="shared" si="10"/>
        <v>294421.24197254336</v>
      </c>
      <c r="I72" s="418">
        <v>25</v>
      </c>
      <c r="J72" s="419">
        <f t="shared" si="11"/>
        <v>294421.24197254336</v>
      </c>
      <c r="K72" s="420"/>
      <c r="L72" s="305"/>
      <c r="M72" s="305"/>
      <c r="N72" s="305"/>
      <c r="O72" s="305"/>
    </row>
    <row r="73" spans="1:15">
      <c r="A73" s="267" t="s">
        <v>1514</v>
      </c>
      <c r="B73" s="340">
        <f>ตาราง3!C74</f>
        <v>1361028.4980462429</v>
      </c>
      <c r="C73" s="256">
        <v>25</v>
      </c>
      <c r="D73" s="417">
        <f t="shared" si="8"/>
        <v>340257.12451156072</v>
      </c>
      <c r="E73" s="256">
        <v>25</v>
      </c>
      <c r="F73" s="417">
        <f t="shared" si="9"/>
        <v>340257.12451156072</v>
      </c>
      <c r="G73" s="256">
        <v>25</v>
      </c>
      <c r="H73" s="417">
        <f t="shared" si="10"/>
        <v>340257.12451156072</v>
      </c>
      <c r="I73" s="418">
        <v>25</v>
      </c>
      <c r="J73" s="419">
        <f t="shared" si="11"/>
        <v>340257.12451156072</v>
      </c>
      <c r="K73" s="420"/>
      <c r="L73" s="305"/>
      <c r="M73" s="305"/>
      <c r="N73" s="305"/>
      <c r="O73" s="305"/>
    </row>
    <row r="74" spans="1:15">
      <c r="A74" s="267" t="s">
        <v>1515</v>
      </c>
      <c r="B74" s="340">
        <f>ตาราง3!C75</f>
        <v>583297.9277341041</v>
      </c>
      <c r="C74" s="256">
        <v>25</v>
      </c>
      <c r="D74" s="417">
        <f t="shared" si="8"/>
        <v>145824.48193352603</v>
      </c>
      <c r="E74" s="256">
        <v>25</v>
      </c>
      <c r="F74" s="417">
        <f t="shared" si="9"/>
        <v>145824.48193352603</v>
      </c>
      <c r="G74" s="256">
        <v>25</v>
      </c>
      <c r="H74" s="417">
        <f t="shared" si="10"/>
        <v>145824.48193352603</v>
      </c>
      <c r="I74" s="418">
        <v>25</v>
      </c>
      <c r="J74" s="419">
        <f t="shared" si="11"/>
        <v>145824.48193352603</v>
      </c>
      <c r="K74" s="420"/>
      <c r="L74" s="305"/>
      <c r="M74" s="305"/>
      <c r="N74" s="305"/>
      <c r="O74" s="305"/>
    </row>
    <row r="75" spans="1:15">
      <c r="A75" s="266" t="s">
        <v>1516</v>
      </c>
      <c r="B75" s="340">
        <f>ตาราง3!C76</f>
        <v>1707035.8705202311</v>
      </c>
      <c r="C75" s="256">
        <v>25</v>
      </c>
      <c r="D75" s="417">
        <f t="shared" si="8"/>
        <v>426758.96763005777</v>
      </c>
      <c r="E75" s="256">
        <v>25</v>
      </c>
      <c r="F75" s="417">
        <f t="shared" si="9"/>
        <v>426758.96763005777</v>
      </c>
      <c r="G75" s="256">
        <v>25</v>
      </c>
      <c r="H75" s="417">
        <f t="shared" si="10"/>
        <v>426758.96763005777</v>
      </c>
      <c r="I75" s="418">
        <v>25</v>
      </c>
      <c r="J75" s="419">
        <f t="shared" si="11"/>
        <v>426758.96763005777</v>
      </c>
      <c r="K75" s="420"/>
      <c r="L75" s="305"/>
      <c r="M75" s="305"/>
      <c r="N75" s="305"/>
      <c r="O75" s="305"/>
    </row>
    <row r="76" spans="1:15">
      <c r="A76" s="432" t="s">
        <v>1517</v>
      </c>
      <c r="B76" s="422">
        <f>ตาราง3!C77</f>
        <v>272641.82526011561</v>
      </c>
      <c r="C76" s="423">
        <v>25</v>
      </c>
      <c r="D76" s="424">
        <f t="shared" si="8"/>
        <v>68160.456315028903</v>
      </c>
      <c r="E76" s="423">
        <v>25</v>
      </c>
      <c r="F76" s="424">
        <f t="shared" si="9"/>
        <v>68160.456315028903</v>
      </c>
      <c r="G76" s="423">
        <v>25</v>
      </c>
      <c r="H76" s="424">
        <f t="shared" si="10"/>
        <v>68160.456315028903</v>
      </c>
      <c r="I76" s="425">
        <v>25</v>
      </c>
      <c r="J76" s="426">
        <f t="shared" si="11"/>
        <v>68160.456315028903</v>
      </c>
      <c r="K76" s="420"/>
      <c r="L76" s="305"/>
      <c r="M76" s="305"/>
      <c r="N76" s="305"/>
      <c r="O76" s="305"/>
    </row>
    <row r="77" spans="1:15" ht="24.75" thickBot="1">
      <c r="A77" s="400" t="s">
        <v>1</v>
      </c>
      <c r="B77" s="433">
        <f>SUM(B4:B76)</f>
        <v>151778459.31999996</v>
      </c>
      <c r="C77" s="401"/>
      <c r="D77" s="401">
        <f>SUM(D4:D76)</f>
        <v>65143835.858516067</v>
      </c>
      <c r="E77" s="401"/>
      <c r="F77" s="401">
        <f>SUM(F4:F76)</f>
        <v>63010829.423037685</v>
      </c>
      <c r="G77" s="401"/>
      <c r="H77" s="401">
        <f>SUM(H4:H76)</f>
        <v>12511180.734414453</v>
      </c>
      <c r="I77" s="401"/>
      <c r="J77" s="434">
        <f>SUM(J4:J76)</f>
        <v>11112613.304031795</v>
      </c>
      <c r="K77" s="435"/>
      <c r="L77" s="305">
        <f>D77+F77+H77+J77</f>
        <v>151778459.31999999</v>
      </c>
      <c r="M77" s="239" t="s">
        <v>383</v>
      </c>
      <c r="N77" s="239" t="s">
        <v>383</v>
      </c>
    </row>
    <row r="78" spans="1:15" ht="24.75" thickTop="1">
      <c r="A78" s="324"/>
      <c r="B78" s="289" t="s">
        <v>383</v>
      </c>
      <c r="D78" s="408"/>
      <c r="F78" s="408"/>
      <c r="H78" s="408"/>
      <c r="I78" s="436"/>
      <c r="J78" s="408"/>
      <c r="K78" s="408"/>
      <c r="L78" s="243"/>
    </row>
    <row r="79" spans="1:15">
      <c r="A79" s="238"/>
      <c r="B79" s="289"/>
      <c r="D79" s="408"/>
      <c r="F79" s="408"/>
      <c r="H79" s="408"/>
      <c r="I79" s="436"/>
      <c r="J79" s="408"/>
      <c r="K79" s="408"/>
    </row>
    <row r="80" spans="1:15">
      <c r="J80" s="439"/>
      <c r="K80" s="439"/>
    </row>
    <row r="81" spans="1:11">
      <c r="J81" s="439"/>
      <c r="K81" s="439"/>
    </row>
    <row r="82" spans="1:11">
      <c r="J82" s="439"/>
      <c r="K82" s="439"/>
    </row>
    <row r="83" spans="1:11">
      <c r="J83" s="439"/>
      <c r="K83" s="439"/>
    </row>
    <row r="84" spans="1:11">
      <c r="J84" s="439"/>
      <c r="K84" s="439"/>
    </row>
    <row r="85" spans="1:11">
      <c r="J85" s="439"/>
      <c r="K85" s="439"/>
    </row>
    <row r="86" spans="1:11">
      <c r="J86" s="439"/>
      <c r="K86" s="439"/>
    </row>
    <row r="87" spans="1:11">
      <c r="J87" s="439"/>
      <c r="K87" s="439"/>
    </row>
    <row r="88" spans="1:11">
      <c r="J88" s="439"/>
      <c r="K88" s="439"/>
    </row>
    <row r="89" spans="1:11">
      <c r="J89" s="439"/>
      <c r="K89" s="439"/>
    </row>
    <row r="90" spans="1:11">
      <c r="J90" s="439"/>
      <c r="K90" s="439"/>
    </row>
    <row r="91" spans="1:11">
      <c r="A91" s="440" t="s">
        <v>227</v>
      </c>
      <c r="B91" s="441" t="s">
        <v>418</v>
      </c>
      <c r="C91" s="391" t="s">
        <v>364</v>
      </c>
      <c r="D91" s="410" t="s">
        <v>413</v>
      </c>
      <c r="E91" s="391" t="s">
        <v>364</v>
      </c>
      <c r="F91" s="410" t="s">
        <v>414</v>
      </c>
      <c r="G91" s="391" t="s">
        <v>364</v>
      </c>
      <c r="H91" s="410" t="s">
        <v>415</v>
      </c>
      <c r="I91" s="411" t="s">
        <v>364</v>
      </c>
      <c r="J91" s="427" t="s">
        <v>416</v>
      </c>
      <c r="K91" s="412"/>
    </row>
    <row r="92" spans="1:11">
      <c r="A92" s="413" t="s">
        <v>353</v>
      </c>
      <c r="B92" s="308"/>
      <c r="C92" s="308"/>
      <c r="D92" s="414"/>
      <c r="E92" s="308"/>
      <c r="F92" s="414"/>
      <c r="G92" s="308"/>
      <c r="H92" s="414"/>
      <c r="I92" s="415"/>
      <c r="J92" s="416"/>
      <c r="K92" s="412"/>
    </row>
    <row r="93" spans="1:11">
      <c r="A93" s="252" t="str">
        <f t="shared" ref="A93:A108" si="12">+A4</f>
        <v>1.1 การตรวจคัดกรองมะเร็งปากมดลูกระยะเริ่มแรก</v>
      </c>
      <c r="B93" s="340">
        <f>ตาราง3!D5</f>
        <v>1034347.6884104047</v>
      </c>
      <c r="C93" s="340">
        <v>100</v>
      </c>
      <c r="D93" s="417">
        <f>+B93*C93/100</f>
        <v>1034347.6884104047</v>
      </c>
      <c r="E93" s="256"/>
      <c r="F93" s="417">
        <f>+B93*E93/100</f>
        <v>0</v>
      </c>
      <c r="G93" s="256"/>
      <c r="H93" s="417">
        <f>+B93*G93/100</f>
        <v>0</v>
      </c>
      <c r="I93" s="418"/>
      <c r="J93" s="419">
        <f>+B93*I93/100</f>
        <v>0</v>
      </c>
      <c r="K93" s="420"/>
    </row>
    <row r="94" spans="1:11">
      <c r="A94" s="252" t="str">
        <f t="shared" si="12"/>
        <v xml:space="preserve">2.1. การบริการผ่าตัดวินิจโรค  ค้นหาโรคมะเร็ง  </v>
      </c>
      <c r="B94" s="340">
        <f>ตาราง3!D6</f>
        <v>3019430.3452312145</v>
      </c>
      <c r="C94" s="256">
        <v>0</v>
      </c>
      <c r="D94" s="417">
        <f t="shared" ref="D94:D117" si="13">+B94*C94/100</f>
        <v>0</v>
      </c>
      <c r="E94" s="256">
        <v>100</v>
      </c>
      <c r="F94" s="417">
        <f t="shared" ref="F94:F144" si="14">+B94*E94/100</f>
        <v>3019430.3452312145</v>
      </c>
      <c r="G94" s="256"/>
      <c r="H94" s="417">
        <f t="shared" ref="H94:H117" si="15">+B94*G94/100</f>
        <v>0</v>
      </c>
      <c r="I94" s="418"/>
      <c r="J94" s="419">
        <f t="shared" ref="J94:J117" si="16">+B94*I94/100</f>
        <v>0</v>
      </c>
      <c r="K94" s="420"/>
    </row>
    <row r="95" spans="1:11">
      <c r="A95" s="252" t="str">
        <f t="shared" si="12"/>
        <v>3.1. ให้บริการการพยาบาลผู้ป่วยที่ได้รับการระงับความรู้สึกทุกประเภท</v>
      </c>
      <c r="B95" s="340">
        <f>ตาราง3!D7</f>
        <v>997990.2784104048</v>
      </c>
      <c r="C95" s="256">
        <v>0</v>
      </c>
      <c r="D95" s="417">
        <f t="shared" si="13"/>
        <v>0</v>
      </c>
      <c r="E95" s="256">
        <v>100</v>
      </c>
      <c r="F95" s="417">
        <f t="shared" si="14"/>
        <v>997990.2784104048</v>
      </c>
      <c r="G95" s="256"/>
      <c r="H95" s="417">
        <f t="shared" si="15"/>
        <v>0</v>
      </c>
      <c r="I95" s="418"/>
      <c r="J95" s="419">
        <f t="shared" si="16"/>
        <v>0</v>
      </c>
      <c r="K95" s="420"/>
    </row>
    <row r="96" spans="1:11">
      <c r="A96" s="252" t="str">
        <f t="shared" si="12"/>
        <v>4.1 ให้บริการรักษาผู้ป่วยนอก</v>
      </c>
      <c r="B96" s="340">
        <f>ตาราง3!D8</f>
        <v>4869075.940728901</v>
      </c>
      <c r="C96" s="256">
        <v>100</v>
      </c>
      <c r="D96" s="417">
        <f t="shared" si="13"/>
        <v>4869075.940728901</v>
      </c>
      <c r="E96" s="256"/>
      <c r="F96" s="417">
        <f t="shared" si="14"/>
        <v>0</v>
      </c>
      <c r="G96" s="256"/>
      <c r="H96" s="417">
        <f t="shared" si="15"/>
        <v>0</v>
      </c>
      <c r="I96" s="418"/>
      <c r="J96" s="419">
        <f t="shared" si="16"/>
        <v>0</v>
      </c>
      <c r="K96" s="420"/>
    </row>
    <row r="97" spans="1:11">
      <c r="A97" s="252" t="str">
        <f t="shared" si="12"/>
        <v>4.2 ให้บริการรักษาผู้ป่วยใน</v>
      </c>
      <c r="B97" s="340">
        <f>ตาราง3!D9</f>
        <v>310792.08132312133</v>
      </c>
      <c r="C97" s="256"/>
      <c r="D97" s="417">
        <f t="shared" si="13"/>
        <v>0</v>
      </c>
      <c r="E97" s="256">
        <v>100</v>
      </c>
      <c r="F97" s="417">
        <f t="shared" si="14"/>
        <v>310792.08132312133</v>
      </c>
      <c r="G97" s="256"/>
      <c r="H97" s="417">
        <f t="shared" si="15"/>
        <v>0</v>
      </c>
      <c r="I97" s="418"/>
      <c r="J97" s="419">
        <f t="shared" si="16"/>
        <v>0</v>
      </c>
      <c r="K97" s="420"/>
    </row>
    <row r="98" spans="1:11">
      <c r="A98" s="252" t="str">
        <f t="shared" si="12"/>
        <v>5.1 ให้บริการรักษาผู้ป่วยโรคมะเร็งด้วยยาเคมีบำบัด ผู้ป่วยนอก</v>
      </c>
      <c r="B98" s="340">
        <f>ตาราง3!D10</f>
        <v>1057748.0546263007</v>
      </c>
      <c r="C98" s="256">
        <v>100</v>
      </c>
      <c r="D98" s="417">
        <f t="shared" si="13"/>
        <v>1057748.0546263007</v>
      </c>
      <c r="E98" s="256"/>
      <c r="F98" s="417">
        <f t="shared" si="14"/>
        <v>0</v>
      </c>
      <c r="G98" s="256"/>
      <c r="H98" s="417">
        <f t="shared" si="15"/>
        <v>0</v>
      </c>
      <c r="I98" s="418"/>
      <c r="J98" s="419">
        <f t="shared" si="16"/>
        <v>0</v>
      </c>
      <c r="K98" s="420"/>
    </row>
    <row r="99" spans="1:11">
      <c r="A99" s="252" t="str">
        <f t="shared" si="12"/>
        <v>5.2 .ให้บริการรักษาผู้ป่วยโรคมะเร็งด้วยยาเคมีบำบัด ผู้ป่วยใน</v>
      </c>
      <c r="B99" s="340">
        <f>ตาราง3!D11</f>
        <v>2147549.0806049136</v>
      </c>
      <c r="C99" s="256"/>
      <c r="D99" s="417">
        <f t="shared" si="13"/>
        <v>0</v>
      </c>
      <c r="E99" s="256">
        <v>100</v>
      </c>
      <c r="F99" s="417">
        <f t="shared" si="14"/>
        <v>2147549.0806049136</v>
      </c>
      <c r="G99" s="256"/>
      <c r="H99" s="417">
        <f t="shared" si="15"/>
        <v>0</v>
      </c>
      <c r="I99" s="418"/>
      <c r="J99" s="419">
        <f t="shared" si="16"/>
        <v>0</v>
      </c>
      <c r="K99" s="420"/>
    </row>
    <row r="100" spans="1:11">
      <c r="A100" s="252" t="str">
        <f t="shared" si="12"/>
        <v>6.1. ให้บริการผู้ป่วยมะเร็งโสต ศอ นาสิก ด้วยรังสีรักษา</v>
      </c>
      <c r="B100" s="340">
        <f>ตาราง3!D12</f>
        <v>0</v>
      </c>
      <c r="C100" s="256">
        <v>0</v>
      </c>
      <c r="D100" s="417">
        <f t="shared" si="13"/>
        <v>0</v>
      </c>
      <c r="E100" s="256">
        <v>0</v>
      </c>
      <c r="F100" s="417">
        <f t="shared" si="14"/>
        <v>0</v>
      </c>
      <c r="G100" s="256"/>
      <c r="H100" s="417">
        <f t="shared" si="15"/>
        <v>0</v>
      </c>
      <c r="I100" s="418"/>
      <c r="J100" s="419">
        <f t="shared" si="16"/>
        <v>0</v>
      </c>
      <c r="K100" s="420"/>
    </row>
    <row r="101" spans="1:11">
      <c r="A101" s="252" t="str">
        <f t="shared" si="12"/>
        <v>7.1 ให้บริการรักษาทุกระบบด้านรังสีรักษา</v>
      </c>
      <c r="B101" s="340">
        <f>ตาราง3!D13</f>
        <v>22788138.440260116</v>
      </c>
      <c r="C101" s="256">
        <v>100</v>
      </c>
      <c r="D101" s="417">
        <f t="shared" si="13"/>
        <v>22788138.440260116</v>
      </c>
      <c r="E101" s="256"/>
      <c r="F101" s="417">
        <f t="shared" si="14"/>
        <v>0</v>
      </c>
      <c r="G101" s="256"/>
      <c r="H101" s="417">
        <f t="shared" si="15"/>
        <v>0</v>
      </c>
      <c r="I101" s="418"/>
      <c r="J101" s="419">
        <f t="shared" si="16"/>
        <v>0</v>
      </c>
      <c r="K101" s="420"/>
    </row>
    <row r="102" spans="1:11">
      <c r="A102" s="252" t="str">
        <f t="shared" si="12"/>
        <v>8.1 บริการตรวจค้นหาและศึกษาวิเคราะห์ความผิดปกติจากภาพถ่ายเอกซเรย์ปอด</v>
      </c>
      <c r="B102" s="340">
        <f>ตาราง3!D14</f>
        <v>9715960.8966748565</v>
      </c>
      <c r="C102" s="256">
        <v>80</v>
      </c>
      <c r="D102" s="417">
        <f t="shared" si="13"/>
        <v>7772768.7173398854</v>
      </c>
      <c r="E102" s="256">
        <v>20</v>
      </c>
      <c r="F102" s="417">
        <f t="shared" si="14"/>
        <v>1943192.1793349714</v>
      </c>
      <c r="G102" s="256"/>
      <c r="H102" s="417">
        <f t="shared" si="15"/>
        <v>0</v>
      </c>
      <c r="I102" s="418"/>
      <c r="J102" s="419">
        <f t="shared" si="16"/>
        <v>0</v>
      </c>
      <c r="K102" s="420"/>
    </row>
    <row r="103" spans="1:11">
      <c r="A103" s="252" t="str">
        <f t="shared" si="12"/>
        <v>8.2 ให้บริการตรวจค้นหา ศึกษา วิเคราะห์มะเร็งของงานเอกซเรย์พิเศษ</v>
      </c>
      <c r="B103" s="340">
        <f>ตาราง3!D15</f>
        <v>122986.84679335261</v>
      </c>
      <c r="C103" s="256">
        <v>100</v>
      </c>
      <c r="D103" s="417">
        <f t="shared" si="13"/>
        <v>122986.84679335261</v>
      </c>
      <c r="E103" s="256"/>
      <c r="F103" s="417">
        <f t="shared" si="14"/>
        <v>0</v>
      </c>
      <c r="G103" s="256"/>
      <c r="H103" s="417">
        <f t="shared" si="15"/>
        <v>0</v>
      </c>
      <c r="I103" s="418"/>
      <c r="J103" s="419">
        <f t="shared" si="16"/>
        <v>0</v>
      </c>
      <c r="K103" s="420"/>
    </row>
    <row r="104" spans="1:11">
      <c r="A104" s="252" t="str">
        <f t="shared" si="12"/>
        <v>8.3. ให้บริการตรวจด้วยคลื่นเสียงความถี่สูง</v>
      </c>
      <c r="B104" s="340">
        <f>ตาราง3!D16</f>
        <v>1721815.8551069363</v>
      </c>
      <c r="C104" s="256">
        <v>80</v>
      </c>
      <c r="D104" s="417">
        <f t="shared" si="13"/>
        <v>1377452.6840855491</v>
      </c>
      <c r="E104" s="256">
        <v>20</v>
      </c>
      <c r="F104" s="417">
        <f t="shared" si="14"/>
        <v>344363.17102138727</v>
      </c>
      <c r="G104" s="256"/>
      <c r="H104" s="417">
        <f t="shared" si="15"/>
        <v>0</v>
      </c>
      <c r="I104" s="418"/>
      <c r="J104" s="419">
        <f t="shared" si="16"/>
        <v>0</v>
      </c>
      <c r="K104" s="420"/>
    </row>
    <row r="105" spans="1:11">
      <c r="A105" s="252" t="str">
        <f t="shared" si="12"/>
        <v>8.4 .ให้บริการตรวจเพื่อค้นหา รวมทั้งศึกษา วิเคราะห์โรคมะเร็งเต้านมและความผิดปกติของ</v>
      </c>
      <c r="B105" s="340">
        <f>ตาราง3!D17</f>
        <v>737921.08076011564</v>
      </c>
      <c r="C105" s="256">
        <v>100</v>
      </c>
      <c r="D105" s="417">
        <f t="shared" si="13"/>
        <v>737921.08076011564</v>
      </c>
      <c r="E105" s="256"/>
      <c r="F105" s="417">
        <f t="shared" si="14"/>
        <v>0</v>
      </c>
      <c r="G105" s="256"/>
      <c r="H105" s="417">
        <f t="shared" si="15"/>
        <v>0</v>
      </c>
      <c r="I105" s="418"/>
      <c r="J105" s="419">
        <f t="shared" si="16"/>
        <v>0</v>
      </c>
      <c r="K105" s="420"/>
    </row>
    <row r="106" spans="1:11">
      <c r="A106" s="252" t="str">
        <f t="shared" si="12"/>
        <v>เต้านมจากการถ่ายเอกซเรย์เต้านม</v>
      </c>
      <c r="B106" s="340"/>
      <c r="C106" s="256"/>
      <c r="D106" s="417">
        <f t="shared" si="13"/>
        <v>0</v>
      </c>
      <c r="E106" s="256"/>
      <c r="F106" s="417"/>
      <c r="G106" s="256"/>
      <c r="H106" s="417">
        <f t="shared" si="15"/>
        <v>0</v>
      </c>
      <c r="I106" s="418"/>
      <c r="J106" s="419">
        <f t="shared" si="16"/>
        <v>0</v>
      </c>
      <c r="K106" s="420"/>
    </row>
    <row r="107" spans="1:11">
      <c r="A107" s="252" t="str">
        <f t="shared" si="12"/>
        <v>9.1. ให้บริการตรวจวินิจฉัยและรักษาผู้ป่วยด้านเวชศาสตร์นิวเคลียร์</v>
      </c>
      <c r="B107" s="340">
        <f>ตาราง3!D19</f>
        <v>8321652.695693641</v>
      </c>
      <c r="C107" s="256">
        <v>100</v>
      </c>
      <c r="D107" s="417">
        <f t="shared" si="13"/>
        <v>8321652.695693641</v>
      </c>
      <c r="E107" s="256"/>
      <c r="F107" s="417">
        <f t="shared" si="14"/>
        <v>0</v>
      </c>
      <c r="G107" s="256"/>
      <c r="H107" s="417">
        <f t="shared" si="15"/>
        <v>0</v>
      </c>
      <c r="I107" s="418"/>
      <c r="J107" s="419">
        <f t="shared" si="16"/>
        <v>0</v>
      </c>
      <c r="K107" s="420"/>
    </row>
    <row r="108" spans="1:11">
      <c r="A108" s="252" t="str">
        <f t="shared" si="12"/>
        <v>10.1 บริการตรวจวินิจฉัยและค้นหาโรคมะเร็งงานพยาธิวิทยาคลินิค</v>
      </c>
      <c r="B108" s="340">
        <f>ตาราง3!D20</f>
        <v>4819126.3804624286</v>
      </c>
      <c r="C108" s="256">
        <v>100</v>
      </c>
      <c r="D108" s="417">
        <f t="shared" si="13"/>
        <v>4819126.3804624286</v>
      </c>
      <c r="E108" s="256"/>
      <c r="F108" s="417">
        <f t="shared" si="14"/>
        <v>0</v>
      </c>
      <c r="G108" s="256"/>
      <c r="H108" s="417">
        <f t="shared" si="15"/>
        <v>0</v>
      </c>
      <c r="I108" s="418"/>
      <c r="J108" s="419">
        <f t="shared" si="16"/>
        <v>0</v>
      </c>
      <c r="K108" s="420"/>
    </row>
    <row r="109" spans="1:11">
      <c r="A109" s="259" t="s">
        <v>249</v>
      </c>
      <c r="B109" s="340">
        <f>ตาราง3!D21</f>
        <v>3655410.5636416189</v>
      </c>
      <c r="C109" s="256"/>
      <c r="D109" s="417">
        <f t="shared" si="13"/>
        <v>0</v>
      </c>
      <c r="E109" s="256">
        <v>100</v>
      </c>
      <c r="F109" s="417">
        <f t="shared" si="14"/>
        <v>3655410.5636416189</v>
      </c>
      <c r="G109" s="256"/>
      <c r="H109" s="417">
        <f t="shared" si="15"/>
        <v>0</v>
      </c>
      <c r="I109" s="418"/>
      <c r="J109" s="419">
        <f t="shared" si="16"/>
        <v>0</v>
      </c>
      <c r="K109" s="420"/>
    </row>
    <row r="110" spans="1:11">
      <c r="A110" s="259" t="s">
        <v>251</v>
      </c>
      <c r="B110" s="340">
        <f>ตาราง3!D22</f>
        <v>2876045.2319595371</v>
      </c>
      <c r="C110" s="256">
        <v>100</v>
      </c>
      <c r="D110" s="417">
        <f t="shared" si="13"/>
        <v>2876045.2319595371</v>
      </c>
      <c r="E110" s="256"/>
      <c r="F110" s="417">
        <f t="shared" si="14"/>
        <v>0</v>
      </c>
      <c r="G110" s="256"/>
      <c r="H110" s="417">
        <f t="shared" si="15"/>
        <v>0</v>
      </c>
      <c r="I110" s="418"/>
      <c r="J110" s="419">
        <f t="shared" si="16"/>
        <v>0</v>
      </c>
      <c r="K110" s="420"/>
    </row>
    <row r="111" spans="1:11">
      <c r="A111" s="259" t="s">
        <v>252</v>
      </c>
      <c r="B111" s="340">
        <f>ตาราง3!D23</f>
        <v>908224.81009248551</v>
      </c>
      <c r="C111" s="256"/>
      <c r="D111" s="417">
        <f t="shared" si="13"/>
        <v>0</v>
      </c>
      <c r="E111" s="256">
        <v>100</v>
      </c>
      <c r="F111" s="417">
        <f t="shared" si="14"/>
        <v>908224.81009248551</v>
      </c>
      <c r="G111" s="256"/>
      <c r="H111" s="417">
        <f t="shared" si="15"/>
        <v>0</v>
      </c>
      <c r="I111" s="418"/>
      <c r="J111" s="419">
        <f t="shared" si="16"/>
        <v>0</v>
      </c>
      <c r="K111" s="420"/>
    </row>
    <row r="112" spans="1:11">
      <c r="A112" s="259" t="s">
        <v>254</v>
      </c>
      <c r="B112" s="340">
        <f>ตาราง3!D24</f>
        <v>10984842.737266472</v>
      </c>
      <c r="C112" s="256">
        <v>100</v>
      </c>
      <c r="D112" s="417">
        <f t="shared" si="13"/>
        <v>10984842.737266472</v>
      </c>
      <c r="E112" s="256"/>
      <c r="F112" s="417">
        <f t="shared" si="14"/>
        <v>0</v>
      </c>
      <c r="G112" s="256"/>
      <c r="H112" s="417">
        <f t="shared" si="15"/>
        <v>0</v>
      </c>
      <c r="I112" s="418"/>
      <c r="J112" s="419">
        <f t="shared" si="16"/>
        <v>0</v>
      </c>
      <c r="K112" s="420"/>
    </row>
    <row r="113" spans="1:11">
      <c r="A113" s="259" t="s">
        <v>255</v>
      </c>
      <c r="B113" s="340">
        <f>ตาราง3!D25</f>
        <v>8286811.1877624262</v>
      </c>
      <c r="C113" s="256"/>
      <c r="D113" s="417">
        <f t="shared" si="13"/>
        <v>0</v>
      </c>
      <c r="E113" s="256">
        <v>100</v>
      </c>
      <c r="F113" s="417">
        <f t="shared" si="14"/>
        <v>8286811.1877624262</v>
      </c>
      <c r="G113" s="256"/>
      <c r="H113" s="417">
        <f t="shared" si="15"/>
        <v>0</v>
      </c>
      <c r="I113" s="418"/>
      <c r="J113" s="419">
        <f t="shared" si="16"/>
        <v>0</v>
      </c>
      <c r="K113" s="420"/>
    </row>
    <row r="114" spans="1:11">
      <c r="A114" s="259" t="s">
        <v>257</v>
      </c>
      <c r="B114" s="340">
        <f>ตาราง3!D26</f>
        <v>1532487.3601109826</v>
      </c>
      <c r="C114" s="256"/>
      <c r="D114" s="417">
        <f t="shared" si="13"/>
        <v>0</v>
      </c>
      <c r="E114" s="256">
        <v>100</v>
      </c>
      <c r="F114" s="417">
        <f t="shared" si="14"/>
        <v>1532487.3601109826</v>
      </c>
      <c r="G114" s="256"/>
      <c r="H114" s="417">
        <f t="shared" si="15"/>
        <v>0</v>
      </c>
      <c r="I114" s="418"/>
      <c r="J114" s="419">
        <f t="shared" si="16"/>
        <v>0</v>
      </c>
      <c r="K114" s="420"/>
    </row>
    <row r="115" spans="1:11">
      <c r="A115" s="259" t="s">
        <v>258</v>
      </c>
      <c r="B115" s="340">
        <f>ตาราง3!D27</f>
        <v>595967.30670982657</v>
      </c>
      <c r="C115" s="256"/>
      <c r="D115" s="417">
        <f t="shared" si="13"/>
        <v>0</v>
      </c>
      <c r="E115" s="256"/>
      <c r="F115" s="417">
        <f t="shared" si="14"/>
        <v>0</v>
      </c>
      <c r="G115" s="256">
        <v>100</v>
      </c>
      <c r="H115" s="417">
        <f t="shared" si="15"/>
        <v>595967.30670982657</v>
      </c>
      <c r="I115" s="418"/>
      <c r="J115" s="419">
        <f t="shared" si="16"/>
        <v>0</v>
      </c>
      <c r="K115" s="420"/>
    </row>
    <row r="116" spans="1:11">
      <c r="A116" s="259" t="s">
        <v>260</v>
      </c>
      <c r="B116" s="340">
        <f>ตาราง3!D28</f>
        <v>2353645.7121849712</v>
      </c>
      <c r="C116" s="256">
        <v>100</v>
      </c>
      <c r="D116" s="417">
        <f t="shared" si="13"/>
        <v>2353645.7121849712</v>
      </c>
      <c r="E116" s="256"/>
      <c r="F116" s="417">
        <f t="shared" si="14"/>
        <v>0</v>
      </c>
      <c r="G116" s="256"/>
      <c r="H116" s="417">
        <f t="shared" si="15"/>
        <v>0</v>
      </c>
      <c r="I116" s="418"/>
      <c r="J116" s="419">
        <f t="shared" si="16"/>
        <v>0</v>
      </c>
      <c r="K116" s="420"/>
    </row>
    <row r="117" spans="1:11">
      <c r="A117" s="259" t="s">
        <v>417</v>
      </c>
      <c r="B117" s="340">
        <f>ตาราง3!D29</f>
        <v>1569097.1414566475</v>
      </c>
      <c r="C117" s="256">
        <v>100</v>
      </c>
      <c r="D117" s="417">
        <f t="shared" si="13"/>
        <v>1569097.1414566475</v>
      </c>
      <c r="E117" s="256"/>
      <c r="F117" s="417">
        <f t="shared" si="14"/>
        <v>0</v>
      </c>
      <c r="G117" s="256"/>
      <c r="H117" s="417">
        <f t="shared" si="15"/>
        <v>0</v>
      </c>
      <c r="I117" s="418"/>
      <c r="J117" s="419">
        <f t="shared" si="16"/>
        <v>0</v>
      </c>
      <c r="K117" s="420"/>
    </row>
    <row r="118" spans="1:11">
      <c r="A118" s="259" t="s">
        <v>263</v>
      </c>
      <c r="B118" s="340">
        <f>ตาราง3!D30</f>
        <v>9106784.5225144513</v>
      </c>
      <c r="C118" s="256">
        <v>100</v>
      </c>
      <c r="D118" s="417">
        <f t="shared" ref="D118:D144" si="17">+B118*C118/100</f>
        <v>9106784.5225144513</v>
      </c>
      <c r="E118" s="256"/>
      <c r="F118" s="417">
        <f t="shared" si="14"/>
        <v>0</v>
      </c>
      <c r="G118" s="256"/>
      <c r="H118" s="417">
        <f t="shared" ref="H118:H144" si="18">+B118*G118/100</f>
        <v>0</v>
      </c>
      <c r="I118" s="418"/>
      <c r="J118" s="419">
        <f t="shared" ref="J118:J144" si="19">+B118*I118/100</f>
        <v>0</v>
      </c>
      <c r="K118" s="420"/>
    </row>
    <row r="119" spans="1:11">
      <c r="A119" s="259" t="s">
        <v>265</v>
      </c>
      <c r="B119" s="340">
        <f>ตาราง3!D31</f>
        <v>23886824.410722539</v>
      </c>
      <c r="C119" s="256">
        <v>100</v>
      </c>
      <c r="D119" s="417">
        <f t="shared" si="17"/>
        <v>23886824.410722539</v>
      </c>
      <c r="E119" s="256"/>
      <c r="F119" s="417">
        <f t="shared" si="14"/>
        <v>0</v>
      </c>
      <c r="G119" s="256"/>
      <c r="H119" s="417">
        <f t="shared" si="18"/>
        <v>0</v>
      </c>
      <c r="I119" s="418"/>
      <c r="J119" s="419">
        <f t="shared" si="19"/>
        <v>0</v>
      </c>
      <c r="K119" s="420"/>
    </row>
    <row r="120" spans="1:11">
      <c r="A120" s="421" t="s">
        <v>267</v>
      </c>
      <c r="B120" s="422">
        <f>ตาราง3!D32</f>
        <v>34936937.851647399</v>
      </c>
      <c r="C120" s="423"/>
      <c r="D120" s="424">
        <f t="shared" si="17"/>
        <v>0</v>
      </c>
      <c r="E120" s="423">
        <v>100</v>
      </c>
      <c r="F120" s="424">
        <f t="shared" si="14"/>
        <v>34936937.851647399</v>
      </c>
      <c r="G120" s="423"/>
      <c r="H120" s="424">
        <f t="shared" si="18"/>
        <v>0</v>
      </c>
      <c r="I120" s="425"/>
      <c r="J120" s="426">
        <f t="shared" si="19"/>
        <v>0</v>
      </c>
      <c r="K120" s="420"/>
    </row>
    <row r="121" spans="1:11">
      <c r="A121" s="440" t="s">
        <v>227</v>
      </c>
      <c r="B121" s="441" t="s">
        <v>418</v>
      </c>
      <c r="C121" s="391" t="s">
        <v>364</v>
      </c>
      <c r="D121" s="410" t="s">
        <v>413</v>
      </c>
      <c r="E121" s="391" t="s">
        <v>364</v>
      </c>
      <c r="F121" s="410" t="s">
        <v>414</v>
      </c>
      <c r="G121" s="391" t="s">
        <v>364</v>
      </c>
      <c r="H121" s="410" t="s">
        <v>415</v>
      </c>
      <c r="I121" s="411" t="s">
        <v>364</v>
      </c>
      <c r="J121" s="427" t="s">
        <v>416</v>
      </c>
      <c r="K121" s="412"/>
    </row>
    <row r="122" spans="1:11">
      <c r="A122" s="442" t="s">
        <v>269</v>
      </c>
      <c r="B122" s="443">
        <f>ตาราง3!D33</f>
        <v>5773666.5720520224</v>
      </c>
      <c r="C122" s="309"/>
      <c r="D122" s="444">
        <f t="shared" si="17"/>
        <v>0</v>
      </c>
      <c r="E122" s="309"/>
      <c r="F122" s="444">
        <f t="shared" si="14"/>
        <v>0</v>
      </c>
      <c r="G122" s="309">
        <v>100</v>
      </c>
      <c r="H122" s="444">
        <f t="shared" si="18"/>
        <v>5773666.5720520224</v>
      </c>
      <c r="I122" s="445"/>
      <c r="J122" s="446">
        <f t="shared" si="19"/>
        <v>0</v>
      </c>
      <c r="K122" s="420"/>
    </row>
    <row r="123" spans="1:11">
      <c r="A123" s="259" t="s">
        <v>271</v>
      </c>
      <c r="B123" s="340">
        <f>ตาราง3!D34</f>
        <v>913864.69841040473</v>
      </c>
      <c r="C123" s="256"/>
      <c r="D123" s="417">
        <f t="shared" si="17"/>
        <v>0</v>
      </c>
      <c r="E123" s="256">
        <v>100</v>
      </c>
      <c r="F123" s="417">
        <f t="shared" si="14"/>
        <v>913864.69841040473</v>
      </c>
      <c r="G123" s="256"/>
      <c r="H123" s="417">
        <f t="shared" si="18"/>
        <v>0</v>
      </c>
      <c r="I123" s="418"/>
      <c r="J123" s="419">
        <f t="shared" si="19"/>
        <v>0</v>
      </c>
      <c r="K123" s="420"/>
    </row>
    <row r="124" spans="1:11">
      <c r="A124" s="259" t="s">
        <v>273</v>
      </c>
      <c r="B124" s="340">
        <f>ตาราง3!D35</f>
        <v>8203531.1641040472</v>
      </c>
      <c r="C124" s="256"/>
      <c r="D124" s="417">
        <f t="shared" si="17"/>
        <v>0</v>
      </c>
      <c r="E124" s="256">
        <v>100</v>
      </c>
      <c r="F124" s="417">
        <f t="shared" si="14"/>
        <v>8203531.1641040472</v>
      </c>
      <c r="G124" s="256"/>
      <c r="H124" s="417">
        <f t="shared" si="18"/>
        <v>0</v>
      </c>
      <c r="I124" s="418"/>
      <c r="J124" s="419">
        <f t="shared" si="19"/>
        <v>0</v>
      </c>
      <c r="K124" s="420"/>
    </row>
    <row r="125" spans="1:11">
      <c r="A125" s="259" t="s">
        <v>275</v>
      </c>
      <c r="B125" s="340">
        <f>ตาราง3!D36</f>
        <v>12502822.874566473</v>
      </c>
      <c r="C125" s="256"/>
      <c r="D125" s="417">
        <f t="shared" si="17"/>
        <v>0</v>
      </c>
      <c r="E125" s="256">
        <v>100</v>
      </c>
      <c r="F125" s="417">
        <f t="shared" si="14"/>
        <v>12502822.874566473</v>
      </c>
      <c r="G125" s="256"/>
      <c r="H125" s="417">
        <f t="shared" si="18"/>
        <v>0</v>
      </c>
      <c r="I125" s="418"/>
      <c r="J125" s="419">
        <f t="shared" si="19"/>
        <v>0</v>
      </c>
      <c r="K125" s="420"/>
    </row>
    <row r="126" spans="1:11">
      <c r="A126" s="259" t="s">
        <v>277</v>
      </c>
      <c r="B126" s="340">
        <f>ตาราง3!D37</f>
        <v>4404196.2904624287</v>
      </c>
      <c r="C126" s="256"/>
      <c r="D126" s="417">
        <f t="shared" si="17"/>
        <v>0</v>
      </c>
      <c r="E126" s="256">
        <v>100</v>
      </c>
      <c r="F126" s="417">
        <f t="shared" si="14"/>
        <v>4404196.2904624287</v>
      </c>
      <c r="G126" s="256"/>
      <c r="H126" s="417">
        <f t="shared" si="18"/>
        <v>0</v>
      </c>
      <c r="I126" s="418"/>
      <c r="J126" s="419">
        <f t="shared" si="19"/>
        <v>0</v>
      </c>
      <c r="K126" s="420"/>
    </row>
    <row r="127" spans="1:11">
      <c r="A127" s="259" t="s">
        <v>1480</v>
      </c>
      <c r="B127" s="340">
        <f>ตาราง3!D38</f>
        <v>5366761.8388728313</v>
      </c>
      <c r="C127" s="256"/>
      <c r="D127" s="417">
        <f t="shared" si="17"/>
        <v>0</v>
      </c>
      <c r="E127" s="256"/>
      <c r="F127" s="417">
        <f t="shared" si="14"/>
        <v>0</v>
      </c>
      <c r="G127" s="256"/>
      <c r="H127" s="417">
        <f t="shared" si="18"/>
        <v>0</v>
      </c>
      <c r="I127" s="418">
        <v>100</v>
      </c>
      <c r="J127" s="419">
        <f t="shared" si="19"/>
        <v>5366761.8388728313</v>
      </c>
      <c r="K127" s="420"/>
    </row>
    <row r="128" spans="1:11">
      <c r="A128" s="259" t="s">
        <v>281</v>
      </c>
      <c r="B128" s="340">
        <f>ตาราง3!D39</f>
        <v>6327920.7272832384</v>
      </c>
      <c r="C128" s="256"/>
      <c r="D128" s="417">
        <f t="shared" si="17"/>
        <v>0</v>
      </c>
      <c r="E128" s="256">
        <v>100</v>
      </c>
      <c r="F128" s="417">
        <f t="shared" si="14"/>
        <v>6327920.7272832384</v>
      </c>
      <c r="G128" s="256"/>
      <c r="H128" s="417">
        <f t="shared" si="18"/>
        <v>0</v>
      </c>
      <c r="I128" s="418"/>
      <c r="J128" s="419">
        <f t="shared" si="19"/>
        <v>0</v>
      </c>
      <c r="K128" s="420"/>
    </row>
    <row r="129" spans="1:11">
      <c r="A129" s="259" t="s">
        <v>283</v>
      </c>
      <c r="B129" s="340">
        <f>ตาราง3!D40</f>
        <v>1746869.0500924855</v>
      </c>
      <c r="C129" s="256">
        <v>30</v>
      </c>
      <c r="D129" s="417">
        <f t="shared" si="17"/>
        <v>524060.71502774564</v>
      </c>
      <c r="E129" s="256">
        <v>70</v>
      </c>
      <c r="F129" s="417">
        <f t="shared" si="14"/>
        <v>1222808.3350647399</v>
      </c>
      <c r="G129" s="256"/>
      <c r="H129" s="417">
        <f t="shared" si="18"/>
        <v>0</v>
      </c>
      <c r="I129" s="418"/>
      <c r="J129" s="419">
        <f t="shared" si="19"/>
        <v>0</v>
      </c>
      <c r="K129" s="420"/>
    </row>
    <row r="130" spans="1:11">
      <c r="A130" s="259" t="s">
        <v>284</v>
      </c>
      <c r="B130" s="340">
        <f>ตาราง3!D41</f>
        <v>1164579.3667283237</v>
      </c>
      <c r="C130" s="256">
        <v>30</v>
      </c>
      <c r="D130" s="417">
        <f t="shared" si="17"/>
        <v>349373.81001849711</v>
      </c>
      <c r="E130" s="256">
        <v>70</v>
      </c>
      <c r="F130" s="417">
        <f t="shared" si="14"/>
        <v>815205.55670982657</v>
      </c>
      <c r="G130" s="256"/>
      <c r="H130" s="417">
        <f t="shared" si="18"/>
        <v>0</v>
      </c>
      <c r="I130" s="418"/>
      <c r="J130" s="419">
        <f t="shared" si="19"/>
        <v>0</v>
      </c>
      <c r="K130" s="420"/>
    </row>
    <row r="131" spans="1:11">
      <c r="A131" s="259" t="s">
        <v>286</v>
      </c>
      <c r="B131" s="340">
        <f>ตาราง3!D42</f>
        <v>7445862.1641040472</v>
      </c>
      <c r="C131" s="256">
        <v>40</v>
      </c>
      <c r="D131" s="417">
        <f t="shared" si="17"/>
        <v>2978344.8656416191</v>
      </c>
      <c r="E131" s="256">
        <v>60</v>
      </c>
      <c r="F131" s="417">
        <f t="shared" si="14"/>
        <v>4467517.2984624282</v>
      </c>
      <c r="G131" s="256"/>
      <c r="H131" s="417">
        <f t="shared" si="18"/>
        <v>0</v>
      </c>
      <c r="I131" s="418"/>
      <c r="J131" s="419">
        <f t="shared" si="19"/>
        <v>0</v>
      </c>
      <c r="K131" s="420"/>
    </row>
    <row r="132" spans="1:11">
      <c r="A132" s="907" t="s">
        <v>1548</v>
      </c>
      <c r="B132" s="340">
        <f>ตาราง3!D43</f>
        <v>986943.93841040472</v>
      </c>
      <c r="C132" s="256"/>
      <c r="D132" s="417">
        <f t="shared" si="17"/>
        <v>0</v>
      </c>
      <c r="E132" s="256"/>
      <c r="F132" s="417">
        <f t="shared" si="14"/>
        <v>0</v>
      </c>
      <c r="G132" s="256"/>
      <c r="H132" s="417"/>
      <c r="I132" s="418">
        <v>100</v>
      </c>
      <c r="J132" s="419">
        <f t="shared" si="19"/>
        <v>986943.93841040472</v>
      </c>
      <c r="K132" s="420"/>
    </row>
    <row r="133" spans="1:11">
      <c r="A133" s="447" t="str">
        <f t="shared" ref="A133:A146" si="20">+A44</f>
        <v>กิจกรรมย่อยของหน่วยงานสนับสนุน</v>
      </c>
      <c r="B133" s="340"/>
      <c r="C133" s="256"/>
      <c r="D133" s="417">
        <f t="shared" si="17"/>
        <v>0</v>
      </c>
      <c r="E133" s="256"/>
      <c r="F133" s="417">
        <f t="shared" si="14"/>
        <v>0</v>
      </c>
      <c r="G133" s="256"/>
      <c r="H133" s="417">
        <f t="shared" si="18"/>
        <v>0</v>
      </c>
      <c r="I133" s="418"/>
      <c r="J133" s="419">
        <f t="shared" si="19"/>
        <v>0</v>
      </c>
      <c r="K133" s="420"/>
    </row>
    <row r="134" spans="1:11">
      <c r="A134" s="252" t="str">
        <f t="shared" si="20"/>
        <v>1.1. ควบคุม กำกับ ดูแลการบริหารงานให้เป็นไปตามภาระกิจของโรงพยาบาล</v>
      </c>
      <c r="B134" s="340">
        <f>ตาราง3!D47</f>
        <v>1204035.8484104048</v>
      </c>
      <c r="C134" s="256">
        <v>25</v>
      </c>
      <c r="D134" s="417">
        <f t="shared" si="17"/>
        <v>301008.96210260119</v>
      </c>
      <c r="E134" s="256">
        <v>25</v>
      </c>
      <c r="F134" s="417">
        <f t="shared" si="14"/>
        <v>301008.96210260119</v>
      </c>
      <c r="G134" s="256">
        <v>25</v>
      </c>
      <c r="H134" s="417">
        <f t="shared" si="18"/>
        <v>301008.96210260119</v>
      </c>
      <c r="I134" s="418">
        <v>25</v>
      </c>
      <c r="J134" s="419">
        <f t="shared" si="19"/>
        <v>301008.96210260119</v>
      </c>
      <c r="K134" s="420"/>
    </row>
    <row r="135" spans="1:11">
      <c r="A135" s="252" t="str">
        <f t="shared" si="20"/>
        <v>2.1. ตรวจสอบและกลั่นกรองเรื่องต่างๆ เพื่อเสนอผู้บังคับบัญชา สั่งการ</v>
      </c>
      <c r="B135" s="340">
        <f>ตาราง3!D48</f>
        <v>951278.69841040473</v>
      </c>
      <c r="C135" s="256">
        <v>25</v>
      </c>
      <c r="D135" s="417">
        <f t="shared" si="17"/>
        <v>237819.67460260118</v>
      </c>
      <c r="E135" s="256">
        <v>25</v>
      </c>
      <c r="F135" s="417">
        <f t="shared" si="14"/>
        <v>237819.67460260118</v>
      </c>
      <c r="G135" s="256">
        <v>25</v>
      </c>
      <c r="H135" s="417">
        <f t="shared" si="18"/>
        <v>237819.67460260118</v>
      </c>
      <c r="I135" s="418">
        <v>25</v>
      </c>
      <c r="J135" s="419">
        <f t="shared" si="19"/>
        <v>237819.67460260118</v>
      </c>
      <c r="K135" s="420"/>
    </row>
    <row r="136" spans="1:11">
      <c r="A136" s="252" t="str">
        <f t="shared" si="20"/>
        <v>3.1. ร่างโต้ตอบหนังสือ ภายในหน่วยงานและ ภายนอกหน่วยงาน</v>
      </c>
      <c r="B136" s="340">
        <f>ตาราง3!D49</f>
        <v>3173276.7888005786</v>
      </c>
      <c r="C136" s="256">
        <v>25</v>
      </c>
      <c r="D136" s="417">
        <f t="shared" si="17"/>
        <v>793319.19720014464</v>
      </c>
      <c r="E136" s="256">
        <v>25</v>
      </c>
      <c r="F136" s="417">
        <f t="shared" si="14"/>
        <v>793319.19720014464</v>
      </c>
      <c r="G136" s="256">
        <v>25</v>
      </c>
      <c r="H136" s="417">
        <f t="shared" si="18"/>
        <v>793319.19720014464</v>
      </c>
      <c r="I136" s="418">
        <v>25</v>
      </c>
      <c r="J136" s="419">
        <f t="shared" si="19"/>
        <v>793319.19720014464</v>
      </c>
      <c r="K136" s="420"/>
    </row>
    <row r="137" spans="1:11">
      <c r="A137" s="252" t="str">
        <f t="shared" si="20"/>
        <v>3.2.  รับ  ส่งจดหมาย พัสดุ ไปรษณีย์ของทางราชการ</v>
      </c>
      <c r="B137" s="340">
        <f>ตาราง3!D50</f>
        <v>1708687.5016618499</v>
      </c>
      <c r="C137" s="256">
        <v>25</v>
      </c>
      <c r="D137" s="417">
        <f t="shared" si="17"/>
        <v>427171.87541546248</v>
      </c>
      <c r="E137" s="256">
        <v>25</v>
      </c>
      <c r="F137" s="417">
        <f t="shared" si="14"/>
        <v>427171.87541546248</v>
      </c>
      <c r="G137" s="256">
        <v>25</v>
      </c>
      <c r="H137" s="417">
        <f t="shared" si="18"/>
        <v>427171.87541546248</v>
      </c>
      <c r="I137" s="418">
        <v>25</v>
      </c>
      <c r="J137" s="419">
        <f t="shared" si="19"/>
        <v>427171.87541546248</v>
      </c>
      <c r="K137" s="420"/>
    </row>
    <row r="138" spans="1:11">
      <c r="A138" s="252" t="str">
        <f t="shared" si="20"/>
        <v>4.1. ให้บริการเจ้าหน้าที่ภายในจังหวัด</v>
      </c>
      <c r="B138" s="340">
        <f>ตาราง3!D51</f>
        <v>1979553.5446618504</v>
      </c>
      <c r="C138" s="256">
        <v>25</v>
      </c>
      <c r="D138" s="417">
        <f t="shared" si="17"/>
        <v>494888.38616546261</v>
      </c>
      <c r="E138" s="256">
        <v>25</v>
      </c>
      <c r="F138" s="417">
        <f t="shared" si="14"/>
        <v>494888.38616546261</v>
      </c>
      <c r="G138" s="256">
        <v>25</v>
      </c>
      <c r="H138" s="417">
        <f t="shared" si="18"/>
        <v>494888.38616546261</v>
      </c>
      <c r="I138" s="418">
        <v>25</v>
      </c>
      <c r="J138" s="419">
        <f t="shared" si="19"/>
        <v>494888.38616546261</v>
      </c>
      <c r="K138" s="420"/>
    </row>
    <row r="139" spans="1:11">
      <c r="A139" s="252" t="str">
        <f t="shared" si="20"/>
        <v>4.2. ให้บริการเจ้าหน้าที่ต่างจังหวัด</v>
      </c>
      <c r="B139" s="340">
        <f>ตาราง3!D52</f>
        <v>848380.09056936437</v>
      </c>
      <c r="C139" s="256">
        <v>25</v>
      </c>
      <c r="D139" s="417">
        <f t="shared" si="17"/>
        <v>212095.02264234109</v>
      </c>
      <c r="E139" s="256">
        <v>25</v>
      </c>
      <c r="F139" s="417">
        <f t="shared" si="14"/>
        <v>212095.02264234109</v>
      </c>
      <c r="G139" s="256">
        <v>25</v>
      </c>
      <c r="H139" s="417">
        <f t="shared" si="18"/>
        <v>212095.02264234109</v>
      </c>
      <c r="I139" s="418">
        <v>25</v>
      </c>
      <c r="J139" s="419">
        <f t="shared" si="19"/>
        <v>212095.02264234109</v>
      </c>
      <c r="K139" s="420"/>
    </row>
    <row r="140" spans="1:11">
      <c r="A140" s="252" t="str">
        <f t="shared" si="20"/>
        <v>5.1.  ดูแล บำรุงรักษาเครื่องมือทางการแพทย์ต่างๆ</v>
      </c>
      <c r="B140" s="340">
        <f>ตาราง3!D53</f>
        <v>5101904.2904624287</v>
      </c>
      <c r="C140" s="256">
        <v>25</v>
      </c>
      <c r="D140" s="417">
        <f t="shared" si="17"/>
        <v>1275476.0726156072</v>
      </c>
      <c r="E140" s="256">
        <v>25</v>
      </c>
      <c r="F140" s="417">
        <f t="shared" si="14"/>
        <v>1275476.0726156072</v>
      </c>
      <c r="G140" s="256">
        <v>25</v>
      </c>
      <c r="H140" s="417">
        <f t="shared" si="18"/>
        <v>1275476.0726156072</v>
      </c>
      <c r="I140" s="418">
        <v>25</v>
      </c>
      <c r="J140" s="419">
        <f t="shared" si="19"/>
        <v>1275476.0726156072</v>
      </c>
      <c r="K140" s="420"/>
    </row>
    <row r="141" spans="1:11">
      <c r="A141" s="252" t="str">
        <f t="shared" si="20"/>
        <v>6.1. จำนวนรายการเอกสารเบิกจ่ายเงินในระบบ GFMIS</v>
      </c>
      <c r="B141" s="340">
        <f>ตาราง3!D54</f>
        <v>7502670.445693641</v>
      </c>
      <c r="C141" s="256">
        <v>25</v>
      </c>
      <c r="D141" s="417">
        <f t="shared" si="17"/>
        <v>1875667.6114234102</v>
      </c>
      <c r="E141" s="256">
        <v>25</v>
      </c>
      <c r="F141" s="417">
        <f t="shared" si="14"/>
        <v>1875667.6114234102</v>
      </c>
      <c r="G141" s="256">
        <v>25</v>
      </c>
      <c r="H141" s="417">
        <f t="shared" si="18"/>
        <v>1875667.6114234102</v>
      </c>
      <c r="I141" s="418">
        <v>25</v>
      </c>
      <c r="J141" s="419">
        <f t="shared" si="19"/>
        <v>1875667.6114234102</v>
      </c>
      <c r="K141" s="420"/>
    </row>
    <row r="142" spans="1:11">
      <c r="A142" s="252" t="str">
        <f t="shared" si="20"/>
        <v>7.1. จำนวนครั้งของการจัดซื้อในระบบ GFMIS</v>
      </c>
      <c r="B142" s="340">
        <f>ตาราง3!D55</f>
        <v>5997709.0088728312</v>
      </c>
      <c r="C142" s="256">
        <v>25</v>
      </c>
      <c r="D142" s="417">
        <f t="shared" si="17"/>
        <v>1499427.2522182078</v>
      </c>
      <c r="E142" s="256">
        <v>25</v>
      </c>
      <c r="F142" s="417">
        <f t="shared" si="14"/>
        <v>1499427.2522182078</v>
      </c>
      <c r="G142" s="256">
        <v>25</v>
      </c>
      <c r="H142" s="417">
        <f t="shared" si="18"/>
        <v>1499427.2522182078</v>
      </c>
      <c r="I142" s="418">
        <v>25</v>
      </c>
      <c r="J142" s="419">
        <f t="shared" si="19"/>
        <v>1499427.2522182078</v>
      </c>
      <c r="K142" s="420"/>
    </row>
    <row r="143" spans="1:11">
      <c r="A143" s="252" t="str">
        <f t="shared" si="20"/>
        <v>8.1. จัดทำแผนเงินงบประมาณ/เงินบำรุง</v>
      </c>
      <c r="B143" s="340">
        <f>ตาราง3!D56</f>
        <v>1255515.0676156073</v>
      </c>
      <c r="C143" s="256">
        <v>25</v>
      </c>
      <c r="D143" s="417">
        <f t="shared" si="17"/>
        <v>313878.76690390182</v>
      </c>
      <c r="E143" s="256">
        <v>25</v>
      </c>
      <c r="F143" s="417">
        <f t="shared" si="14"/>
        <v>313878.76690390182</v>
      </c>
      <c r="G143" s="256">
        <v>25</v>
      </c>
      <c r="H143" s="417">
        <f t="shared" si="18"/>
        <v>313878.76690390182</v>
      </c>
      <c r="I143" s="418">
        <v>25</v>
      </c>
      <c r="J143" s="419">
        <f t="shared" si="19"/>
        <v>313878.76690390182</v>
      </c>
      <c r="K143" s="420"/>
    </row>
    <row r="144" spans="1:11">
      <c r="A144" s="252" t="str">
        <f t="shared" si="20"/>
        <v>8.2. ตรวจสอบและรายงานผลการดำเนินงาน</v>
      </c>
      <c r="B144" s="340">
        <f>ตาราง3!D57</f>
        <v>1255515.0676156073</v>
      </c>
      <c r="C144" s="256">
        <v>25</v>
      </c>
      <c r="D144" s="417">
        <f t="shared" si="17"/>
        <v>313878.76690390182</v>
      </c>
      <c r="E144" s="256">
        <v>25</v>
      </c>
      <c r="F144" s="417">
        <f t="shared" si="14"/>
        <v>313878.76690390182</v>
      </c>
      <c r="G144" s="256">
        <v>25</v>
      </c>
      <c r="H144" s="417">
        <f t="shared" si="18"/>
        <v>313878.76690390182</v>
      </c>
      <c r="I144" s="418">
        <v>25</v>
      </c>
      <c r="J144" s="419">
        <f t="shared" si="19"/>
        <v>313878.76690390182</v>
      </c>
      <c r="K144" s="420"/>
    </row>
    <row r="145" spans="1:11">
      <c r="A145" s="252" t="str">
        <f t="shared" si="20"/>
        <v>9.1. ประสานสิทธิและส่งต่อผู้ป่วย</v>
      </c>
      <c r="B145" s="340">
        <f>ตาราง3!D58</f>
        <v>1248088.5897745662</v>
      </c>
      <c r="C145" s="256">
        <v>25</v>
      </c>
      <c r="D145" s="417">
        <f t="shared" ref="D145:D165" si="21">+B145*C145/100</f>
        <v>312022.14744364156</v>
      </c>
      <c r="E145" s="256">
        <v>25</v>
      </c>
      <c r="F145" s="417">
        <f t="shared" ref="F145:F165" si="22">+B145*E145/100</f>
        <v>312022.14744364156</v>
      </c>
      <c r="G145" s="256">
        <v>25</v>
      </c>
      <c r="H145" s="417">
        <f t="shared" ref="H145:H165" si="23">+B145*G145/100</f>
        <v>312022.14744364156</v>
      </c>
      <c r="I145" s="256">
        <v>25</v>
      </c>
      <c r="J145" s="419">
        <f t="shared" ref="J145:J165" si="24">+B145*I145/100</f>
        <v>312022.14744364156</v>
      </c>
      <c r="K145" s="420"/>
    </row>
    <row r="146" spans="1:11">
      <c r="A146" s="252" t="str">
        <f t="shared" si="20"/>
        <v>9.2. ดำเนินการเรียกเก็บเงินค่ารักษาพยาบาลสิทธิทุกประเภท</v>
      </c>
      <c r="B146" s="340">
        <f>ตาราง3!D59</f>
        <v>2496177.1795491325</v>
      </c>
      <c r="C146" s="256">
        <v>25</v>
      </c>
      <c r="D146" s="417">
        <f t="shared" si="21"/>
        <v>624044.29488728312</v>
      </c>
      <c r="E146" s="256">
        <v>25</v>
      </c>
      <c r="F146" s="417">
        <f t="shared" si="22"/>
        <v>624044.29488728312</v>
      </c>
      <c r="G146" s="256">
        <v>25</v>
      </c>
      <c r="H146" s="417">
        <f t="shared" si="23"/>
        <v>624044.29488728312</v>
      </c>
      <c r="I146" s="256">
        <v>25</v>
      </c>
      <c r="J146" s="419">
        <f t="shared" si="24"/>
        <v>624044.29488728312</v>
      </c>
      <c r="K146" s="420"/>
    </row>
    <row r="147" spans="1:11">
      <c r="A147" s="252" t="s">
        <v>1533</v>
      </c>
      <c r="B147" s="340">
        <f>ตาราง3!D60</f>
        <v>2496177.1795491325</v>
      </c>
      <c r="C147" s="256">
        <v>25</v>
      </c>
      <c r="D147" s="417">
        <f t="shared" si="21"/>
        <v>624044.29488728312</v>
      </c>
      <c r="E147" s="256">
        <v>25</v>
      </c>
      <c r="F147" s="417">
        <f t="shared" si="22"/>
        <v>624044.29488728312</v>
      </c>
      <c r="G147" s="256">
        <v>25</v>
      </c>
      <c r="H147" s="417">
        <f t="shared" si="23"/>
        <v>624044.29488728312</v>
      </c>
      <c r="I147" s="256">
        <v>25</v>
      </c>
      <c r="J147" s="419">
        <f t="shared" si="24"/>
        <v>624044.29488728312</v>
      </c>
      <c r="K147" s="420"/>
    </row>
    <row r="148" spans="1:11">
      <c r="A148" s="252" t="str">
        <f>+A59</f>
        <v>10.1. จำนวนบุคคลากรเดินทางไปประชุม/สัมมนา</v>
      </c>
      <c r="B148" s="340">
        <f>ตาราง3!D61</f>
        <v>891764.69841040473</v>
      </c>
      <c r="C148" s="256">
        <v>25</v>
      </c>
      <c r="D148" s="417">
        <f t="shared" si="21"/>
        <v>222941.17460260118</v>
      </c>
      <c r="E148" s="256">
        <v>25</v>
      </c>
      <c r="F148" s="417">
        <f t="shared" si="22"/>
        <v>222941.17460260118</v>
      </c>
      <c r="G148" s="256">
        <v>25</v>
      </c>
      <c r="H148" s="417">
        <f t="shared" si="23"/>
        <v>222941.17460260118</v>
      </c>
      <c r="I148" s="418">
        <v>25</v>
      </c>
      <c r="J148" s="419">
        <f t="shared" si="24"/>
        <v>222941.17460260118</v>
      </c>
      <c r="K148" s="420"/>
    </row>
    <row r="149" spans="1:11">
      <c r="A149" s="252" t="str">
        <f>+A60</f>
        <v>11.1. ดำเนินการเกี่ยวกับการพัฒนาทรัพยากรบุคคลในหน่วยงาน</v>
      </c>
      <c r="B149" s="340">
        <f>ตาราง3!D62</f>
        <v>1632442.5368208096</v>
      </c>
      <c r="C149" s="256">
        <v>25</v>
      </c>
      <c r="D149" s="417">
        <f t="shared" si="21"/>
        <v>408110.6342052024</v>
      </c>
      <c r="E149" s="256">
        <v>25</v>
      </c>
      <c r="F149" s="417">
        <f t="shared" si="22"/>
        <v>408110.6342052024</v>
      </c>
      <c r="G149" s="256">
        <v>25</v>
      </c>
      <c r="H149" s="417">
        <f t="shared" si="23"/>
        <v>408110.6342052024</v>
      </c>
      <c r="I149" s="418">
        <v>25</v>
      </c>
      <c r="J149" s="419">
        <f t="shared" si="24"/>
        <v>408110.6342052024</v>
      </c>
      <c r="K149" s="420"/>
    </row>
    <row r="150" spans="1:11">
      <c r="A150" s="252" t="str">
        <f>+A61</f>
        <v>12.1. ดำเนินการเกี่ยวกับการประเมินผลการปฏิบัติงานและสมรรถนะเพื่อการเลื่อนเงินเดือน</v>
      </c>
      <c r="B150" s="340">
        <f>ตาราง3!D63</f>
        <v>1603116.4068208095</v>
      </c>
      <c r="C150" s="256">
        <v>25</v>
      </c>
      <c r="D150" s="417">
        <f t="shared" si="21"/>
        <v>400779.10170520237</v>
      </c>
      <c r="E150" s="256">
        <v>25</v>
      </c>
      <c r="F150" s="417">
        <f t="shared" si="22"/>
        <v>400779.10170520237</v>
      </c>
      <c r="G150" s="256">
        <v>25</v>
      </c>
      <c r="H150" s="417">
        <f t="shared" si="23"/>
        <v>400779.10170520237</v>
      </c>
      <c r="I150" s="418">
        <v>25</v>
      </c>
      <c r="J150" s="419">
        <f t="shared" si="24"/>
        <v>400779.10170520237</v>
      </c>
      <c r="K150" s="420"/>
    </row>
    <row r="151" spans="1:11">
      <c r="A151" s="252" t="str">
        <f>+A62</f>
        <v>13.1. บริการต้อนรับผู้ป่วยนอก</v>
      </c>
      <c r="B151" s="340">
        <f>ตาราง3!D64</f>
        <v>3545676.0736416192</v>
      </c>
      <c r="C151" s="256">
        <v>25</v>
      </c>
      <c r="D151" s="417">
        <f t="shared" si="21"/>
        <v>886419.01841040479</v>
      </c>
      <c r="E151" s="256">
        <v>25</v>
      </c>
      <c r="F151" s="417">
        <f t="shared" si="22"/>
        <v>886419.01841040479</v>
      </c>
      <c r="G151" s="256">
        <v>25</v>
      </c>
      <c r="H151" s="417">
        <f t="shared" si="23"/>
        <v>886419.01841040479</v>
      </c>
      <c r="I151" s="418">
        <v>25</v>
      </c>
      <c r="J151" s="419">
        <f t="shared" si="24"/>
        <v>886419.01841040479</v>
      </c>
      <c r="K151" s="420"/>
    </row>
    <row r="152" spans="1:11">
      <c r="A152" s="448" t="str">
        <f>+A64</f>
        <v>14.1. ตรวจสอบและกลั่นกรองหนังสือเพื่อเสนอผู้อำนวยการ</v>
      </c>
      <c r="B152" s="422">
        <f>ตาราง3!D65</f>
        <v>3736622.603641619</v>
      </c>
      <c r="C152" s="423">
        <v>25</v>
      </c>
      <c r="D152" s="424">
        <f t="shared" si="21"/>
        <v>934155.65091040474</v>
      </c>
      <c r="E152" s="423">
        <v>25</v>
      </c>
      <c r="F152" s="424">
        <f t="shared" si="22"/>
        <v>934155.65091040474</v>
      </c>
      <c r="G152" s="423">
        <v>25</v>
      </c>
      <c r="H152" s="424">
        <f t="shared" si="23"/>
        <v>934155.65091040474</v>
      </c>
      <c r="I152" s="425">
        <v>25</v>
      </c>
      <c r="J152" s="426">
        <f t="shared" si="24"/>
        <v>934155.65091040474</v>
      </c>
      <c r="K152" s="420"/>
    </row>
    <row r="153" spans="1:11">
      <c r="A153" s="440" t="s">
        <v>227</v>
      </c>
      <c r="B153" s="441" t="s">
        <v>418</v>
      </c>
      <c r="C153" s="391" t="s">
        <v>364</v>
      </c>
      <c r="D153" s="410" t="s">
        <v>413</v>
      </c>
      <c r="E153" s="391" t="s">
        <v>364</v>
      </c>
      <c r="F153" s="410" t="s">
        <v>414</v>
      </c>
      <c r="G153" s="391" t="s">
        <v>364</v>
      </c>
      <c r="H153" s="410" t="s">
        <v>415</v>
      </c>
      <c r="I153" s="411" t="s">
        <v>364</v>
      </c>
      <c r="J153" s="427" t="s">
        <v>416</v>
      </c>
      <c r="K153" s="412"/>
    </row>
    <row r="154" spans="1:11">
      <c r="A154" s="449" t="str">
        <f t="shared" ref="A154:A165" si="25">+A65</f>
        <v>15.1. ให้รหัสโรคตามบัญชีจำแนกโรคของผู้ป่วยนอก</v>
      </c>
      <c r="B154" s="443">
        <f>ตาราง3!D66</f>
        <v>2222674.7061849711</v>
      </c>
      <c r="C154" s="309">
        <v>25</v>
      </c>
      <c r="D154" s="444">
        <f t="shared" si="21"/>
        <v>555668.67654624279</v>
      </c>
      <c r="E154" s="309">
        <v>25</v>
      </c>
      <c r="F154" s="444">
        <f t="shared" si="22"/>
        <v>555668.67654624279</v>
      </c>
      <c r="G154" s="309">
        <v>25</v>
      </c>
      <c r="H154" s="444">
        <f t="shared" si="23"/>
        <v>555668.67654624279</v>
      </c>
      <c r="I154" s="445">
        <v>25</v>
      </c>
      <c r="J154" s="446">
        <f t="shared" si="24"/>
        <v>555668.67654624279</v>
      </c>
      <c r="K154" s="420"/>
    </row>
    <row r="155" spans="1:11">
      <c r="A155" s="252" t="str">
        <f t="shared" si="25"/>
        <v>15.2. ให้รหัสโรคตามบัญชีจำแนกโรคของผู้ป่วยใน</v>
      </c>
      <c r="B155" s="340">
        <f>ตาราง3!D67</f>
        <v>1481783.1374566474</v>
      </c>
      <c r="C155" s="256">
        <v>25</v>
      </c>
      <c r="D155" s="417">
        <f t="shared" si="21"/>
        <v>370445.78436416184</v>
      </c>
      <c r="E155" s="256">
        <v>25</v>
      </c>
      <c r="F155" s="417">
        <f t="shared" si="22"/>
        <v>370445.78436416184</v>
      </c>
      <c r="G155" s="256">
        <v>25</v>
      </c>
      <c r="H155" s="417">
        <f t="shared" si="23"/>
        <v>370445.78436416184</v>
      </c>
      <c r="I155" s="418">
        <v>25</v>
      </c>
      <c r="J155" s="419">
        <f t="shared" si="24"/>
        <v>370445.78436416184</v>
      </c>
      <c r="K155" s="420"/>
    </row>
    <row r="156" spans="1:11">
      <c r="A156" s="252" t="str">
        <f t="shared" si="25"/>
        <v>16.1 บันทึกฐานข้อมูลผู้ป่วยใหม่/ปรับปรุงข้อมูลผู้ป่วยเก่า</v>
      </c>
      <c r="B156" s="340">
        <f>ตาราง3!D68</f>
        <v>2947433.4904364161</v>
      </c>
      <c r="C156" s="256">
        <v>25</v>
      </c>
      <c r="D156" s="417">
        <f t="shared" si="21"/>
        <v>736858.37260910403</v>
      </c>
      <c r="E156" s="256">
        <v>25</v>
      </c>
      <c r="F156" s="417">
        <f t="shared" si="22"/>
        <v>736858.37260910403</v>
      </c>
      <c r="G156" s="256">
        <v>25</v>
      </c>
      <c r="H156" s="417">
        <f t="shared" si="23"/>
        <v>736858.37260910403</v>
      </c>
      <c r="I156" s="418">
        <v>25</v>
      </c>
      <c r="J156" s="419">
        <f t="shared" si="24"/>
        <v>736858.37260910403</v>
      </c>
      <c r="K156" s="420"/>
    </row>
    <row r="157" spans="1:11">
      <c r="A157" s="252" t="str">
        <f t="shared" si="25"/>
        <v>16.2 การค้นหาแฟ้มเวชระเบียน</v>
      </c>
      <c r="B157" s="340">
        <f>ตาราง3!D69</f>
        <v>2947433.4904364161</v>
      </c>
      <c r="C157" s="256">
        <v>25</v>
      </c>
      <c r="D157" s="417">
        <f t="shared" si="21"/>
        <v>736858.37260910403</v>
      </c>
      <c r="E157" s="256">
        <v>25</v>
      </c>
      <c r="F157" s="417">
        <f t="shared" si="22"/>
        <v>736858.37260910403</v>
      </c>
      <c r="G157" s="256">
        <v>25</v>
      </c>
      <c r="H157" s="417">
        <f t="shared" si="23"/>
        <v>736858.37260910403</v>
      </c>
      <c r="I157" s="418">
        <v>25</v>
      </c>
      <c r="J157" s="419">
        <f t="shared" si="24"/>
        <v>736858.37260910403</v>
      </c>
      <c r="K157" s="420"/>
    </row>
    <row r="158" spans="1:11">
      <c r="A158" s="252" t="str">
        <f t="shared" si="25"/>
        <v>16.3 งานข้อมูลและสถิติทางการแพทย์</v>
      </c>
      <c r="B158" s="340">
        <f>ตาราง3!D70</f>
        <v>2526371.5632312144</v>
      </c>
      <c r="C158" s="256">
        <v>25</v>
      </c>
      <c r="D158" s="417">
        <f t="shared" si="21"/>
        <v>631592.8908078036</v>
      </c>
      <c r="E158" s="256">
        <v>25</v>
      </c>
      <c r="F158" s="417">
        <f t="shared" si="22"/>
        <v>631592.8908078036</v>
      </c>
      <c r="G158" s="256">
        <v>25</v>
      </c>
      <c r="H158" s="417">
        <f t="shared" si="23"/>
        <v>631592.8908078036</v>
      </c>
      <c r="I158" s="418">
        <v>25</v>
      </c>
      <c r="J158" s="419">
        <f t="shared" si="24"/>
        <v>631592.8908078036</v>
      </c>
      <c r="K158" s="420"/>
    </row>
    <row r="159" spans="1:11">
      <c r="A159" s="252" t="str">
        <f t="shared" si="25"/>
        <v>17.1.ด้านจัดการข้อมูล</v>
      </c>
      <c r="B159" s="340">
        <f>ตาราง3!D71</f>
        <v>3399225.9736416191</v>
      </c>
      <c r="C159" s="256">
        <v>25</v>
      </c>
      <c r="D159" s="417">
        <f t="shared" si="21"/>
        <v>849806.49341040477</v>
      </c>
      <c r="E159" s="256">
        <v>25</v>
      </c>
      <c r="F159" s="417">
        <f t="shared" si="22"/>
        <v>849806.49341040477</v>
      </c>
      <c r="G159" s="256">
        <v>25</v>
      </c>
      <c r="H159" s="417">
        <f t="shared" si="23"/>
        <v>849806.49341040477</v>
      </c>
      <c r="I159" s="418">
        <v>25</v>
      </c>
      <c r="J159" s="419">
        <f t="shared" si="24"/>
        <v>849806.49341040477</v>
      </c>
      <c r="K159" s="420"/>
    </row>
    <row r="160" spans="1:11">
      <c r="A160" s="252" t="str">
        <f t="shared" si="25"/>
        <v>18.1งานบำรุงรักษาเครื่องคอมพิวเตอร์ และระบบ HIS</v>
      </c>
      <c r="B160" s="340">
        <f>ตาราง3!D72</f>
        <v>2509327.6252312143</v>
      </c>
      <c r="C160" s="256">
        <v>25</v>
      </c>
      <c r="D160" s="417">
        <f t="shared" si="21"/>
        <v>627331.90630780358</v>
      </c>
      <c r="E160" s="256">
        <v>25</v>
      </c>
      <c r="F160" s="417">
        <f t="shared" si="22"/>
        <v>627331.90630780358</v>
      </c>
      <c r="G160" s="256">
        <v>25</v>
      </c>
      <c r="H160" s="417">
        <f t="shared" si="23"/>
        <v>627331.90630780358</v>
      </c>
      <c r="I160" s="418">
        <v>25</v>
      </c>
      <c r="J160" s="419">
        <f t="shared" si="24"/>
        <v>627331.90630780358</v>
      </c>
      <c r="K160" s="420"/>
    </row>
    <row r="161" spans="1:12">
      <c r="A161" s="252" t="str">
        <f t="shared" si="25"/>
        <v>19.1บริการจัดห้องประชุม</v>
      </c>
      <c r="B161" s="340">
        <f>ตาราง3!D73</f>
        <v>2289021.1252312143</v>
      </c>
      <c r="C161" s="256">
        <v>25</v>
      </c>
      <c r="D161" s="417">
        <f t="shared" si="21"/>
        <v>572255.28130780358</v>
      </c>
      <c r="E161" s="256">
        <v>25</v>
      </c>
      <c r="F161" s="417">
        <f t="shared" si="22"/>
        <v>572255.28130780358</v>
      </c>
      <c r="G161" s="256">
        <v>25</v>
      </c>
      <c r="H161" s="417">
        <f t="shared" si="23"/>
        <v>572255.28130780358</v>
      </c>
      <c r="I161" s="418">
        <v>25</v>
      </c>
      <c r="J161" s="419">
        <f t="shared" si="24"/>
        <v>572255.28130780358</v>
      </c>
      <c r="K161" s="420"/>
    </row>
    <row r="162" spans="1:12">
      <c r="A162" s="252" t="str">
        <f t="shared" si="25"/>
        <v>20.1การให้บริการตรวจพิเศษทางห้องปฏิบัติการ (HBV Viral Load)</v>
      </c>
      <c r="B162" s="340">
        <f>ตาราง3!D74</f>
        <v>4208716.0503237005</v>
      </c>
      <c r="C162" s="256">
        <v>25</v>
      </c>
      <c r="D162" s="417">
        <f t="shared" si="21"/>
        <v>1052179.0125809251</v>
      </c>
      <c r="E162" s="256">
        <v>25</v>
      </c>
      <c r="F162" s="417">
        <f t="shared" si="22"/>
        <v>1052179.0125809251</v>
      </c>
      <c r="G162" s="256">
        <v>25</v>
      </c>
      <c r="H162" s="417">
        <f t="shared" si="23"/>
        <v>1052179.0125809251</v>
      </c>
      <c r="I162" s="418">
        <v>25</v>
      </c>
      <c r="J162" s="419">
        <f t="shared" si="24"/>
        <v>1052179.0125809251</v>
      </c>
      <c r="K162" s="420"/>
    </row>
    <row r="163" spans="1:12">
      <c r="A163" s="252" t="str">
        <f t="shared" si="25"/>
        <v>20.20จัดทำรายงานความก้าวหน้าของโครงการวิจัยงบประมาณประจำปี 2566</v>
      </c>
      <c r="B163" s="340">
        <f>ตาราง3!D75</f>
        <v>1803735.4501387286</v>
      </c>
      <c r="C163" s="256">
        <v>25</v>
      </c>
      <c r="D163" s="417">
        <f t="shared" si="21"/>
        <v>450933.86253468215</v>
      </c>
      <c r="E163" s="256">
        <v>25</v>
      </c>
      <c r="F163" s="417">
        <f t="shared" si="22"/>
        <v>450933.86253468215</v>
      </c>
      <c r="G163" s="256">
        <v>25</v>
      </c>
      <c r="H163" s="417">
        <f t="shared" si="23"/>
        <v>450933.86253468215</v>
      </c>
      <c r="I163" s="418">
        <v>25</v>
      </c>
      <c r="J163" s="419">
        <f t="shared" si="24"/>
        <v>450933.86253468215</v>
      </c>
      <c r="K163" s="420"/>
    </row>
    <row r="164" spans="1:12">
      <c r="A164" s="252" t="str">
        <f t="shared" si="25"/>
        <v>21.1งานพัฒนานโยบาลและยุทธศาสตร์การแพทย์</v>
      </c>
      <c r="B164" s="340">
        <f>ตาราง3!D76</f>
        <v>2886456.8436416183</v>
      </c>
      <c r="C164" s="256">
        <v>25</v>
      </c>
      <c r="D164" s="417">
        <f t="shared" si="21"/>
        <v>721614.21091040457</v>
      </c>
      <c r="E164" s="256">
        <v>25</v>
      </c>
      <c r="F164" s="417">
        <f t="shared" si="22"/>
        <v>721614.21091040457</v>
      </c>
      <c r="G164" s="256">
        <v>25</v>
      </c>
      <c r="H164" s="417">
        <f t="shared" si="23"/>
        <v>721614.21091040457</v>
      </c>
      <c r="I164" s="418">
        <v>25</v>
      </c>
      <c r="J164" s="419">
        <f t="shared" si="24"/>
        <v>721614.21091040457</v>
      </c>
      <c r="K164" s="420"/>
    </row>
    <row r="165" spans="1:12">
      <c r="A165" s="252" t="str">
        <f t="shared" si="25"/>
        <v>22.1ศูนย์พัฒนาคุณภาพ</v>
      </c>
      <c r="B165" s="340">
        <f>ตาราง3!D77</f>
        <v>1728913.5868208096</v>
      </c>
      <c r="C165" s="256">
        <v>25</v>
      </c>
      <c r="D165" s="417">
        <f t="shared" si="21"/>
        <v>432228.39670520241</v>
      </c>
      <c r="E165" s="256">
        <v>25</v>
      </c>
      <c r="F165" s="417">
        <f t="shared" si="22"/>
        <v>432228.39670520241</v>
      </c>
      <c r="G165" s="256">
        <v>25</v>
      </c>
      <c r="H165" s="417">
        <f t="shared" si="23"/>
        <v>432228.39670520241</v>
      </c>
      <c r="I165" s="418">
        <v>25</v>
      </c>
      <c r="J165" s="419">
        <f t="shared" si="24"/>
        <v>432228.39670520241</v>
      </c>
      <c r="K165" s="420"/>
    </row>
    <row r="166" spans="1:12" ht="24.75" thickBot="1">
      <c r="A166" s="400" t="s">
        <v>1</v>
      </c>
      <c r="B166" s="450">
        <f>SUM(B93:B165)</f>
        <v>296774317.85000002</v>
      </c>
      <c r="C166" s="450"/>
      <c r="D166" s="450">
        <f>SUM(D93:D165)</f>
        <v>127425158.84189254</v>
      </c>
      <c r="E166" s="450"/>
      <c r="F166" s="450">
        <f>SUM(F93:F165)</f>
        <v>116835977.02018386</v>
      </c>
      <c r="G166" s="450"/>
      <c r="H166" s="450">
        <f>SUM(H93:H165)</f>
        <v>26264555.044701159</v>
      </c>
      <c r="I166" s="450"/>
      <c r="J166" s="451">
        <f>SUM(J93:J165)</f>
        <v>26248626.943222545</v>
      </c>
      <c r="K166" s="268"/>
      <c r="L166" s="243">
        <f>D166+F166+H166+J166</f>
        <v>296774317.85000008</v>
      </c>
    </row>
    <row r="167" spans="1:12" ht="24.75" thickTop="1">
      <c r="A167" s="452"/>
      <c r="B167" s="243" t="s">
        <v>383</v>
      </c>
      <c r="J167" s="439"/>
      <c r="K167" s="439"/>
    </row>
    <row r="168" spans="1:12">
      <c r="J168" s="439"/>
      <c r="K168" s="439"/>
    </row>
    <row r="169" spans="1:12">
      <c r="J169" s="439"/>
      <c r="K169" s="439"/>
    </row>
    <row r="170" spans="1:12">
      <c r="J170" s="439"/>
      <c r="K170" s="439"/>
    </row>
    <row r="171" spans="1:12">
      <c r="J171" s="439"/>
      <c r="K171" s="439"/>
    </row>
    <row r="172" spans="1:12">
      <c r="J172" s="439"/>
      <c r="K172" s="439"/>
    </row>
    <row r="173" spans="1:12">
      <c r="J173" s="439"/>
      <c r="K173" s="439"/>
    </row>
    <row r="174" spans="1:12">
      <c r="J174" s="439"/>
      <c r="K174" s="439"/>
    </row>
    <row r="175" spans="1:12">
      <c r="J175" s="439"/>
      <c r="K175" s="439"/>
    </row>
    <row r="176" spans="1:12">
      <c r="J176" s="439"/>
      <c r="K176" s="439"/>
    </row>
    <row r="177" spans="1:11">
      <c r="J177" s="439"/>
      <c r="K177" s="439"/>
    </row>
    <row r="178" spans="1:11">
      <c r="J178" s="439"/>
      <c r="K178" s="439"/>
    </row>
    <row r="179" spans="1:11">
      <c r="J179" s="439"/>
      <c r="K179" s="439"/>
    </row>
    <row r="180" spans="1:11">
      <c r="J180" s="439"/>
      <c r="K180" s="439"/>
    </row>
    <row r="181" spans="1:11">
      <c r="A181" s="440" t="s">
        <v>227</v>
      </c>
      <c r="B181" s="441" t="s">
        <v>0</v>
      </c>
      <c r="C181" s="391" t="s">
        <v>364</v>
      </c>
      <c r="D181" s="410" t="s">
        <v>413</v>
      </c>
      <c r="E181" s="391" t="s">
        <v>364</v>
      </c>
      <c r="F181" s="410" t="s">
        <v>414</v>
      </c>
      <c r="G181" s="391" t="s">
        <v>364</v>
      </c>
      <c r="H181" s="410" t="s">
        <v>415</v>
      </c>
      <c r="I181" s="411" t="s">
        <v>364</v>
      </c>
      <c r="J181" s="427" t="s">
        <v>416</v>
      </c>
      <c r="K181" s="412"/>
    </row>
    <row r="182" spans="1:11">
      <c r="A182" s="413" t="s">
        <v>353</v>
      </c>
      <c r="B182" s="308"/>
      <c r="C182" s="308"/>
      <c r="D182" s="414"/>
      <c r="E182" s="308"/>
      <c r="F182" s="414"/>
      <c r="G182" s="308"/>
      <c r="H182" s="414"/>
      <c r="I182" s="415"/>
      <c r="J182" s="416"/>
      <c r="K182" s="412"/>
    </row>
    <row r="183" spans="1:11">
      <c r="A183" s="267" t="str">
        <f t="shared" ref="A183:A198" si="26">+A93</f>
        <v>1.1 การตรวจคัดกรองมะเร็งปากมดลูกระยะเริ่มแรก</v>
      </c>
      <c r="B183" s="340">
        <f>ตาราง3!E5</f>
        <v>33362.409277456645</v>
      </c>
      <c r="C183" s="340">
        <v>100</v>
      </c>
      <c r="D183" s="417">
        <f>+B183*C183/100</f>
        <v>33362.409277456645</v>
      </c>
      <c r="E183" s="256"/>
      <c r="F183" s="417">
        <f>+B183*E183/100</f>
        <v>0</v>
      </c>
      <c r="G183" s="256"/>
      <c r="H183" s="417">
        <f>+B183*G183/100</f>
        <v>0</v>
      </c>
      <c r="I183" s="418"/>
      <c r="J183" s="419">
        <f>+B183*I183/100</f>
        <v>0</v>
      </c>
      <c r="K183" s="420"/>
    </row>
    <row r="184" spans="1:11">
      <c r="A184" s="267" t="str">
        <f t="shared" si="26"/>
        <v xml:space="preserve">2.1. การบริการผ่าตัดวินิจโรค  ค้นหาโรคมะเร็ง  </v>
      </c>
      <c r="B184" s="340">
        <f>ตาราง3!E6</f>
        <v>100087.22783236993</v>
      </c>
      <c r="C184" s="256">
        <v>0</v>
      </c>
      <c r="D184" s="417">
        <f t="shared" ref="D184:D207" si="27">+B184*C184/100</f>
        <v>0</v>
      </c>
      <c r="E184" s="256">
        <v>100</v>
      </c>
      <c r="F184" s="417">
        <f t="shared" ref="F184:F207" si="28">+B184*E184/100</f>
        <v>100087.22783236993</v>
      </c>
      <c r="G184" s="256"/>
      <c r="H184" s="417">
        <f t="shared" ref="H184:H207" si="29">+B184*G184/100</f>
        <v>0</v>
      </c>
      <c r="I184" s="418"/>
      <c r="J184" s="419">
        <f t="shared" ref="J184:J207" si="30">+B184*I184/100</f>
        <v>0</v>
      </c>
      <c r="K184" s="420"/>
    </row>
    <row r="185" spans="1:11">
      <c r="A185" s="267" t="str">
        <f t="shared" si="26"/>
        <v>3.1. ให้บริการการพยาบาลผู้ป่วยที่ได้รับการระงับความรู้สึกทุกประเภท</v>
      </c>
      <c r="B185" s="340">
        <f>ตาราง3!E7</f>
        <v>33362.409277456645</v>
      </c>
      <c r="C185" s="256">
        <v>0</v>
      </c>
      <c r="D185" s="417">
        <f t="shared" si="27"/>
        <v>0</v>
      </c>
      <c r="E185" s="256">
        <v>100</v>
      </c>
      <c r="F185" s="417">
        <f t="shared" si="28"/>
        <v>33362.409277456645</v>
      </c>
      <c r="G185" s="256"/>
      <c r="H185" s="417">
        <f t="shared" si="29"/>
        <v>0</v>
      </c>
      <c r="I185" s="418"/>
      <c r="J185" s="419">
        <f t="shared" si="30"/>
        <v>0</v>
      </c>
      <c r="K185" s="420"/>
    </row>
    <row r="186" spans="1:11">
      <c r="A186" s="267" t="str">
        <f t="shared" si="26"/>
        <v>4.1 ให้บริการรักษาผู้ป่วยนอก</v>
      </c>
      <c r="B186" s="340">
        <f>ตาราง3!E8</f>
        <v>156803.32360404622</v>
      </c>
      <c r="C186" s="256">
        <v>100</v>
      </c>
      <c r="D186" s="417">
        <f t="shared" si="27"/>
        <v>156803.32360404622</v>
      </c>
      <c r="E186" s="256"/>
      <c r="F186" s="417">
        <f t="shared" si="28"/>
        <v>0</v>
      </c>
      <c r="G186" s="256"/>
      <c r="H186" s="417">
        <f t="shared" si="29"/>
        <v>0</v>
      </c>
      <c r="I186" s="418"/>
      <c r="J186" s="419">
        <f t="shared" si="30"/>
        <v>0</v>
      </c>
      <c r="K186" s="420"/>
    </row>
    <row r="187" spans="1:11">
      <c r="A187" s="267" t="str">
        <f t="shared" si="26"/>
        <v>4.2 ให้บริการรักษาผู้ป่วยใน</v>
      </c>
      <c r="B187" s="340">
        <f>ตาราง3!E9</f>
        <v>10008.722783236992</v>
      </c>
      <c r="C187" s="256"/>
      <c r="D187" s="417">
        <f t="shared" si="27"/>
        <v>0</v>
      </c>
      <c r="E187" s="256">
        <v>100</v>
      </c>
      <c r="F187" s="417">
        <f t="shared" si="28"/>
        <v>10008.722783236992</v>
      </c>
      <c r="G187" s="256"/>
      <c r="H187" s="417">
        <f t="shared" si="29"/>
        <v>0</v>
      </c>
      <c r="I187" s="418"/>
      <c r="J187" s="419">
        <f t="shared" si="30"/>
        <v>0</v>
      </c>
      <c r="K187" s="420"/>
    </row>
    <row r="188" spans="1:11">
      <c r="A188" s="267" t="str">
        <f t="shared" si="26"/>
        <v>5.1 ให้บริการรักษาผู้ป่วยโรคมะเร็งด้วยยาเคมีบำบัด ผู้ป่วยนอก</v>
      </c>
      <c r="B188" s="340">
        <f>ตาราง3!E10</f>
        <v>33028.785184682085</v>
      </c>
      <c r="C188" s="256">
        <v>100</v>
      </c>
      <c r="D188" s="417">
        <f t="shared" si="27"/>
        <v>33028.785184682085</v>
      </c>
      <c r="E188" s="256"/>
      <c r="F188" s="417">
        <f t="shared" si="28"/>
        <v>0</v>
      </c>
      <c r="G188" s="256"/>
      <c r="H188" s="417">
        <f t="shared" si="29"/>
        <v>0</v>
      </c>
      <c r="I188" s="418"/>
      <c r="J188" s="419">
        <f t="shared" si="30"/>
        <v>0</v>
      </c>
      <c r="K188" s="420"/>
    </row>
    <row r="189" spans="1:11">
      <c r="A189" s="267" t="str">
        <f t="shared" si="26"/>
        <v>5.2 .ให้บริการรักษาผู้ป่วยโรคมะเร็งด้วยยาเคมีบำบัด ผู้ป่วยใน</v>
      </c>
      <c r="B189" s="340">
        <f>ตาราง3!E11</f>
        <v>67058.442647687858</v>
      </c>
      <c r="C189" s="256"/>
      <c r="D189" s="417">
        <f t="shared" si="27"/>
        <v>0</v>
      </c>
      <c r="E189" s="256">
        <v>100</v>
      </c>
      <c r="F189" s="417">
        <f t="shared" si="28"/>
        <v>67058.442647687858</v>
      </c>
      <c r="G189" s="256"/>
      <c r="H189" s="417">
        <f t="shared" si="29"/>
        <v>0</v>
      </c>
      <c r="I189" s="418"/>
      <c r="J189" s="419">
        <f t="shared" si="30"/>
        <v>0</v>
      </c>
      <c r="K189" s="420"/>
    </row>
    <row r="190" spans="1:11">
      <c r="A190" s="267" t="str">
        <f t="shared" si="26"/>
        <v>6.1. ให้บริการผู้ป่วยมะเร็งโสต ศอ นาสิก ด้วยรังสีรักษา</v>
      </c>
      <c r="B190" s="340">
        <f>ตาราง3!E12</f>
        <v>0</v>
      </c>
      <c r="C190" s="256">
        <v>0</v>
      </c>
      <c r="D190" s="417">
        <f t="shared" si="27"/>
        <v>0</v>
      </c>
      <c r="E190" s="256">
        <v>0</v>
      </c>
      <c r="F190" s="417">
        <f t="shared" si="28"/>
        <v>0</v>
      </c>
      <c r="G190" s="256"/>
      <c r="H190" s="417">
        <f t="shared" si="29"/>
        <v>0</v>
      </c>
      <c r="I190" s="418"/>
      <c r="J190" s="419">
        <f t="shared" si="30"/>
        <v>0</v>
      </c>
      <c r="K190" s="420"/>
    </row>
    <row r="191" spans="1:11">
      <c r="A191" s="267" t="str">
        <f t="shared" si="26"/>
        <v>7.1 ให้บริการรักษาทุกระบบด้านรังสีรักษา</v>
      </c>
      <c r="B191" s="340">
        <f>ตาราง3!E13</f>
        <v>834060.23193641612</v>
      </c>
      <c r="C191" s="256">
        <v>100</v>
      </c>
      <c r="D191" s="417">
        <f t="shared" si="27"/>
        <v>834060.23193641612</v>
      </c>
      <c r="E191" s="256"/>
      <c r="F191" s="417">
        <f t="shared" si="28"/>
        <v>0</v>
      </c>
      <c r="G191" s="256"/>
      <c r="H191" s="417">
        <f t="shared" si="29"/>
        <v>0</v>
      </c>
      <c r="I191" s="418"/>
      <c r="J191" s="419">
        <f t="shared" si="30"/>
        <v>0</v>
      </c>
      <c r="K191" s="420"/>
    </row>
    <row r="192" spans="1:11">
      <c r="A192" s="267" t="str">
        <f t="shared" si="26"/>
        <v>8.1 บริการตรวจค้นหาและศึกษาวิเคราะห์ความผิดปกติจากภาพถ่ายเอกซเรย์ปอด</v>
      </c>
      <c r="B192" s="340">
        <f>ตาราง3!E14</f>
        <v>342631.94327947975</v>
      </c>
      <c r="C192" s="256">
        <v>80</v>
      </c>
      <c r="D192" s="417">
        <f t="shared" si="27"/>
        <v>274105.5546235838</v>
      </c>
      <c r="E192" s="256">
        <v>20</v>
      </c>
      <c r="F192" s="417">
        <f t="shared" si="28"/>
        <v>68526.388655895949</v>
      </c>
      <c r="G192" s="256"/>
      <c r="H192" s="417">
        <f t="shared" si="29"/>
        <v>0</v>
      </c>
      <c r="I192" s="418"/>
      <c r="J192" s="419">
        <f t="shared" si="30"/>
        <v>0</v>
      </c>
      <c r="K192" s="420"/>
    </row>
    <row r="193" spans="1:11">
      <c r="A193" s="267" t="str">
        <f t="shared" si="26"/>
        <v>8.2 ให้บริการตรวจค้นหา ศึกษา วิเคราะห์มะเร็งของงานเอกซเรย์พิเศษ</v>
      </c>
      <c r="B193" s="340">
        <f>ตาราง3!E15</f>
        <v>4337.1132060693644</v>
      </c>
      <c r="C193" s="256">
        <v>100</v>
      </c>
      <c r="D193" s="417">
        <f t="shared" si="27"/>
        <v>4337.1132060693644</v>
      </c>
      <c r="E193" s="256"/>
      <c r="F193" s="417">
        <f t="shared" si="28"/>
        <v>0</v>
      </c>
      <c r="G193" s="256"/>
      <c r="H193" s="417">
        <f t="shared" si="29"/>
        <v>0</v>
      </c>
      <c r="I193" s="418"/>
      <c r="J193" s="419">
        <f t="shared" si="30"/>
        <v>0</v>
      </c>
      <c r="K193" s="420"/>
    </row>
    <row r="194" spans="1:11">
      <c r="A194" s="267" t="str">
        <f t="shared" si="26"/>
        <v>8.3. ให้บริการตรวจด้วยคลื่นเสียงความถี่สูง</v>
      </c>
      <c r="B194" s="340">
        <f>ตาราง3!E16</f>
        <v>60719.584884971104</v>
      </c>
      <c r="C194" s="256">
        <v>80</v>
      </c>
      <c r="D194" s="417">
        <f t="shared" si="27"/>
        <v>48575.66790797688</v>
      </c>
      <c r="E194" s="256">
        <v>20</v>
      </c>
      <c r="F194" s="417">
        <f t="shared" si="28"/>
        <v>12143.91697699422</v>
      </c>
      <c r="G194" s="256"/>
      <c r="H194" s="417">
        <f t="shared" si="29"/>
        <v>0</v>
      </c>
      <c r="I194" s="418"/>
      <c r="J194" s="419">
        <f t="shared" si="30"/>
        <v>0</v>
      </c>
      <c r="K194" s="420"/>
    </row>
    <row r="195" spans="1:11">
      <c r="A195" s="267" t="str">
        <f t="shared" si="26"/>
        <v>8.4 .ให้บริการตรวจเพื่อค้นหา รวมทั้งศึกษา วิเคราะห์โรคมะเร็งเต้านมและความผิดปกติของ</v>
      </c>
      <c r="B195" s="340">
        <f>ตาราง3!E17</f>
        <v>26022.679236416185</v>
      </c>
      <c r="C195" s="256">
        <v>100</v>
      </c>
      <c r="D195" s="417">
        <f t="shared" si="27"/>
        <v>26022.679236416185</v>
      </c>
      <c r="E195" s="256"/>
      <c r="F195" s="417">
        <f t="shared" si="28"/>
        <v>0</v>
      </c>
      <c r="G195" s="256"/>
      <c r="H195" s="417">
        <f t="shared" si="29"/>
        <v>0</v>
      </c>
      <c r="I195" s="418"/>
      <c r="J195" s="419">
        <f t="shared" si="30"/>
        <v>0</v>
      </c>
      <c r="K195" s="420"/>
    </row>
    <row r="196" spans="1:11">
      <c r="A196" s="267" t="str">
        <f t="shared" si="26"/>
        <v>เต้านมจากการถ่ายเอกซเรย์เต้านม</v>
      </c>
      <c r="B196" s="340"/>
      <c r="C196" s="256"/>
      <c r="D196" s="417">
        <f t="shared" si="27"/>
        <v>0</v>
      </c>
      <c r="E196" s="256"/>
      <c r="F196" s="417">
        <f t="shared" si="28"/>
        <v>0</v>
      </c>
      <c r="G196" s="256"/>
      <c r="H196" s="417">
        <f t="shared" si="29"/>
        <v>0</v>
      </c>
      <c r="I196" s="418"/>
      <c r="J196" s="419">
        <f t="shared" si="30"/>
        <v>0</v>
      </c>
      <c r="K196" s="420"/>
    </row>
    <row r="197" spans="1:11">
      <c r="A197" s="267" t="str">
        <f t="shared" si="26"/>
        <v>9.1. ให้บริการตรวจวินิจฉัยและรักษาผู้ป่วยด้านเวชศาสตร์นิวเคลียร์</v>
      </c>
      <c r="B197" s="340">
        <f>ตาราง3!E19</f>
        <v>300261.6834971098</v>
      </c>
      <c r="C197" s="256">
        <v>100</v>
      </c>
      <c r="D197" s="417">
        <f t="shared" si="27"/>
        <v>300261.6834971098</v>
      </c>
      <c r="E197" s="256"/>
      <c r="F197" s="417">
        <f t="shared" si="28"/>
        <v>0</v>
      </c>
      <c r="G197" s="256"/>
      <c r="H197" s="417">
        <f t="shared" si="29"/>
        <v>0</v>
      </c>
      <c r="I197" s="418"/>
      <c r="J197" s="419">
        <f t="shared" si="30"/>
        <v>0</v>
      </c>
      <c r="K197" s="420"/>
    </row>
    <row r="198" spans="1:11">
      <c r="A198" s="267" t="str">
        <f t="shared" si="26"/>
        <v>10.1 บริการตรวจวินิจฉัยและค้นหาโรคมะเร็งงานพยาธิวิทยาคลินิค</v>
      </c>
      <c r="B198" s="340">
        <f>ตาราง3!E20</f>
        <v>200174.45566473986</v>
      </c>
      <c r="C198" s="256">
        <v>100</v>
      </c>
      <c r="D198" s="417">
        <f t="shared" si="27"/>
        <v>200174.45566473986</v>
      </c>
      <c r="E198" s="256"/>
      <c r="F198" s="417">
        <f t="shared" si="28"/>
        <v>0</v>
      </c>
      <c r="G198" s="256"/>
      <c r="H198" s="417">
        <f t="shared" si="29"/>
        <v>0</v>
      </c>
      <c r="I198" s="418"/>
      <c r="J198" s="419">
        <f t="shared" si="30"/>
        <v>0</v>
      </c>
      <c r="K198" s="420"/>
    </row>
    <row r="199" spans="1:11">
      <c r="A199" s="259" t="s">
        <v>249</v>
      </c>
      <c r="B199" s="340">
        <f>ตาราง3!E21</f>
        <v>133449.63710982658</v>
      </c>
      <c r="C199" s="256"/>
      <c r="D199" s="417">
        <f t="shared" si="27"/>
        <v>0</v>
      </c>
      <c r="E199" s="256">
        <v>100</v>
      </c>
      <c r="F199" s="417">
        <f t="shared" si="28"/>
        <v>133449.63710982658</v>
      </c>
      <c r="G199" s="256"/>
      <c r="H199" s="417">
        <f t="shared" si="29"/>
        <v>0</v>
      </c>
      <c r="I199" s="418"/>
      <c r="J199" s="419">
        <f t="shared" si="30"/>
        <v>0</v>
      </c>
      <c r="K199" s="420"/>
    </row>
    <row r="200" spans="1:11">
      <c r="A200" s="259" t="s">
        <v>251</v>
      </c>
      <c r="B200" s="340">
        <f>ตาราง3!E22</f>
        <v>126777.15525433526</v>
      </c>
      <c r="C200" s="256">
        <v>100</v>
      </c>
      <c r="D200" s="417">
        <f t="shared" si="27"/>
        <v>126777.15525433526</v>
      </c>
      <c r="E200" s="256"/>
      <c r="F200" s="417">
        <f t="shared" si="28"/>
        <v>0</v>
      </c>
      <c r="G200" s="256"/>
      <c r="H200" s="417">
        <f t="shared" si="29"/>
        <v>0</v>
      </c>
      <c r="I200" s="418"/>
      <c r="J200" s="419">
        <f t="shared" si="30"/>
        <v>0</v>
      </c>
      <c r="K200" s="420"/>
    </row>
    <row r="201" spans="1:11">
      <c r="A201" s="259" t="s">
        <v>252</v>
      </c>
      <c r="B201" s="340">
        <f>ตาราง3!E23</f>
        <v>40034.891132947967</v>
      </c>
      <c r="C201" s="256"/>
      <c r="D201" s="417">
        <f t="shared" si="27"/>
        <v>0</v>
      </c>
      <c r="E201" s="256">
        <v>100</v>
      </c>
      <c r="F201" s="417">
        <f t="shared" si="28"/>
        <v>40034.891132947967</v>
      </c>
      <c r="G201" s="256"/>
      <c r="H201" s="417">
        <f t="shared" si="29"/>
        <v>0</v>
      </c>
      <c r="I201" s="418"/>
      <c r="J201" s="419">
        <f t="shared" si="30"/>
        <v>0</v>
      </c>
      <c r="K201" s="420"/>
    </row>
    <row r="202" spans="1:11">
      <c r="A202" s="259" t="s">
        <v>254</v>
      </c>
      <c r="B202" s="340">
        <f>ตาราง3!E24</f>
        <v>418364.61233930633</v>
      </c>
      <c r="C202" s="256">
        <v>100</v>
      </c>
      <c r="D202" s="417">
        <f t="shared" si="27"/>
        <v>418364.61233930633</v>
      </c>
      <c r="E202" s="256"/>
      <c r="F202" s="417">
        <f t="shared" si="28"/>
        <v>0</v>
      </c>
      <c r="G202" s="256"/>
      <c r="H202" s="417">
        <f t="shared" si="29"/>
        <v>0</v>
      </c>
      <c r="I202" s="418"/>
      <c r="J202" s="419">
        <f t="shared" si="30"/>
        <v>0</v>
      </c>
      <c r="K202" s="420"/>
    </row>
    <row r="203" spans="1:11">
      <c r="A203" s="259" t="s">
        <v>255</v>
      </c>
      <c r="B203" s="340">
        <f>ตาราง3!E25</f>
        <v>315608.39176473982</v>
      </c>
      <c r="C203" s="256"/>
      <c r="D203" s="417">
        <f t="shared" si="27"/>
        <v>0</v>
      </c>
      <c r="E203" s="256">
        <v>100</v>
      </c>
      <c r="F203" s="417">
        <f t="shared" si="28"/>
        <v>315608.39176473982</v>
      </c>
      <c r="G203" s="256"/>
      <c r="H203" s="417">
        <f t="shared" si="29"/>
        <v>0</v>
      </c>
      <c r="I203" s="418"/>
      <c r="J203" s="419">
        <f t="shared" si="30"/>
        <v>0</v>
      </c>
      <c r="K203" s="420"/>
    </row>
    <row r="204" spans="1:11">
      <c r="A204" s="259" t="s">
        <v>257</v>
      </c>
      <c r="B204" s="340">
        <f>ตาราง3!E26</f>
        <v>48041.869359537566</v>
      </c>
      <c r="C204" s="256"/>
      <c r="D204" s="417">
        <f t="shared" si="27"/>
        <v>0</v>
      </c>
      <c r="E204" s="256">
        <v>100</v>
      </c>
      <c r="F204" s="417">
        <f t="shared" si="28"/>
        <v>48041.869359537566</v>
      </c>
      <c r="G204" s="256"/>
      <c r="H204" s="417">
        <f t="shared" si="29"/>
        <v>0</v>
      </c>
      <c r="I204" s="418"/>
      <c r="J204" s="419">
        <f t="shared" si="30"/>
        <v>0</v>
      </c>
      <c r="K204" s="420"/>
    </row>
    <row r="205" spans="1:11">
      <c r="A205" s="259" t="s">
        <v>258</v>
      </c>
      <c r="B205" s="340">
        <f>ตาราง3!E27</f>
        <v>18682.949195375721</v>
      </c>
      <c r="C205" s="256"/>
      <c r="D205" s="417">
        <f t="shared" si="27"/>
        <v>0</v>
      </c>
      <c r="E205" s="256"/>
      <c r="F205" s="417">
        <f t="shared" si="28"/>
        <v>0</v>
      </c>
      <c r="G205" s="256">
        <v>100</v>
      </c>
      <c r="H205" s="417">
        <f t="shared" si="29"/>
        <v>18682.949195375721</v>
      </c>
      <c r="I205" s="418"/>
      <c r="J205" s="419">
        <f t="shared" si="30"/>
        <v>0</v>
      </c>
      <c r="K205" s="420"/>
    </row>
    <row r="206" spans="1:11">
      <c r="A206" s="259" t="s">
        <v>260</v>
      </c>
      <c r="B206" s="340">
        <f>ตาราง3!E28</f>
        <v>80069.782265895949</v>
      </c>
      <c r="C206" s="256">
        <v>100</v>
      </c>
      <c r="D206" s="417">
        <f t="shared" si="27"/>
        <v>80069.782265895949</v>
      </c>
      <c r="E206" s="256"/>
      <c r="F206" s="417">
        <f t="shared" si="28"/>
        <v>0</v>
      </c>
      <c r="G206" s="256"/>
      <c r="H206" s="417">
        <f t="shared" si="29"/>
        <v>0</v>
      </c>
      <c r="I206" s="418"/>
      <c r="J206" s="419">
        <f t="shared" si="30"/>
        <v>0</v>
      </c>
      <c r="K206" s="420"/>
    </row>
    <row r="207" spans="1:11">
      <c r="A207" s="259" t="s">
        <v>417</v>
      </c>
      <c r="B207" s="340">
        <f>ตาราง3!E29</f>
        <v>53379.854843930632</v>
      </c>
      <c r="C207" s="256">
        <v>100</v>
      </c>
      <c r="D207" s="417">
        <f t="shared" si="27"/>
        <v>53379.854843930632</v>
      </c>
      <c r="E207" s="256"/>
      <c r="F207" s="417">
        <f t="shared" si="28"/>
        <v>0</v>
      </c>
      <c r="G207" s="256"/>
      <c r="H207" s="417">
        <f t="shared" si="29"/>
        <v>0</v>
      </c>
      <c r="I207" s="418"/>
      <c r="J207" s="419">
        <f t="shared" si="30"/>
        <v>0</v>
      </c>
      <c r="K207" s="420"/>
    </row>
    <row r="208" spans="1:11">
      <c r="A208" s="259" t="s">
        <v>263</v>
      </c>
      <c r="B208" s="340">
        <f>ตาราง3!E30</f>
        <v>366986.50205202313</v>
      </c>
      <c r="C208" s="256">
        <v>100</v>
      </c>
      <c r="D208" s="417">
        <f t="shared" ref="D208:D234" si="31">+B208*C208/100</f>
        <v>366986.50205202313</v>
      </c>
      <c r="E208" s="256"/>
      <c r="F208" s="417">
        <f t="shared" ref="F208:F234" si="32">+B208*E208/100</f>
        <v>0</v>
      </c>
      <c r="G208" s="256"/>
      <c r="H208" s="417">
        <f t="shared" ref="H208:H234" si="33">+B208*G208/100</f>
        <v>0</v>
      </c>
      <c r="I208" s="418"/>
      <c r="J208" s="419">
        <f t="shared" ref="J208:J234" si="34">+B208*I208/100</f>
        <v>0</v>
      </c>
      <c r="K208" s="420"/>
    </row>
    <row r="209" spans="1:15">
      <c r="A209" s="259" t="s">
        <v>265</v>
      </c>
      <c r="B209" s="340">
        <f>ตาราง3!E31</f>
        <v>1034234.687601156</v>
      </c>
      <c r="C209" s="256">
        <v>100</v>
      </c>
      <c r="D209" s="417">
        <f t="shared" si="31"/>
        <v>1034234.687601156</v>
      </c>
      <c r="E209" s="256"/>
      <c r="F209" s="417">
        <f t="shared" si="32"/>
        <v>0</v>
      </c>
      <c r="G209" s="256"/>
      <c r="H209" s="417">
        <f t="shared" si="33"/>
        <v>0</v>
      </c>
      <c r="I209" s="418"/>
      <c r="J209" s="419">
        <f t="shared" si="34"/>
        <v>0</v>
      </c>
      <c r="K209" s="420"/>
    </row>
    <row r="210" spans="1:15">
      <c r="A210" s="421" t="s">
        <v>267</v>
      </c>
      <c r="B210" s="422">
        <f>ตาราง3!E32</f>
        <v>1434583.5989306357</v>
      </c>
      <c r="C210" s="423"/>
      <c r="D210" s="424">
        <f t="shared" si="31"/>
        <v>0</v>
      </c>
      <c r="E210" s="423">
        <v>100</v>
      </c>
      <c r="F210" s="424">
        <f t="shared" si="32"/>
        <v>1434583.5989306357</v>
      </c>
      <c r="G210" s="423"/>
      <c r="H210" s="424">
        <f t="shared" si="33"/>
        <v>0</v>
      </c>
      <c r="I210" s="425"/>
      <c r="J210" s="426">
        <f t="shared" si="34"/>
        <v>0</v>
      </c>
      <c r="K210" s="420"/>
    </row>
    <row r="211" spans="1:15">
      <c r="A211" s="440" t="s">
        <v>227</v>
      </c>
      <c r="B211" s="441" t="s">
        <v>0</v>
      </c>
      <c r="C211" s="391" t="s">
        <v>364</v>
      </c>
      <c r="D211" s="410" t="s">
        <v>413</v>
      </c>
      <c r="E211" s="391" t="s">
        <v>364</v>
      </c>
      <c r="F211" s="410" t="s">
        <v>414</v>
      </c>
      <c r="G211" s="391" t="s">
        <v>364</v>
      </c>
      <c r="H211" s="410" t="s">
        <v>415</v>
      </c>
      <c r="I211" s="411" t="s">
        <v>364</v>
      </c>
      <c r="J211" s="427" t="s">
        <v>416</v>
      </c>
      <c r="K211" s="412"/>
    </row>
    <row r="212" spans="1:15">
      <c r="A212" s="442" t="s">
        <v>269</v>
      </c>
      <c r="B212" s="443">
        <f>ตาราง3!E33</f>
        <v>166812.04638728322</v>
      </c>
      <c r="C212" s="309"/>
      <c r="D212" s="444">
        <f t="shared" si="31"/>
        <v>0</v>
      </c>
      <c r="E212" s="309"/>
      <c r="F212" s="444">
        <f t="shared" si="32"/>
        <v>0</v>
      </c>
      <c r="G212" s="309">
        <v>100</v>
      </c>
      <c r="H212" s="444">
        <f t="shared" si="33"/>
        <v>166812.04638728322</v>
      </c>
      <c r="I212" s="445"/>
      <c r="J212" s="446">
        <f t="shared" si="34"/>
        <v>0</v>
      </c>
      <c r="K212" s="420"/>
    </row>
    <row r="213" spans="1:15">
      <c r="A213" s="259" t="s">
        <v>271</v>
      </c>
      <c r="B213" s="340">
        <f>ตาราง3!E34</f>
        <v>33362.409277456645</v>
      </c>
      <c r="C213" s="256"/>
      <c r="D213" s="417">
        <f t="shared" si="31"/>
        <v>0</v>
      </c>
      <c r="E213" s="256">
        <v>100</v>
      </c>
      <c r="F213" s="417">
        <f t="shared" si="32"/>
        <v>33362.409277456645</v>
      </c>
      <c r="G213" s="256"/>
      <c r="H213" s="417">
        <f t="shared" si="33"/>
        <v>0</v>
      </c>
      <c r="I213" s="418"/>
      <c r="J213" s="419">
        <f t="shared" si="34"/>
        <v>0</v>
      </c>
      <c r="K213" s="420"/>
    </row>
    <row r="214" spans="1:15">
      <c r="A214" s="259" t="s">
        <v>273</v>
      </c>
      <c r="B214" s="340">
        <f>ตาราง3!E35</f>
        <v>333624.09277456644</v>
      </c>
      <c r="C214" s="256"/>
      <c r="D214" s="417">
        <f t="shared" si="31"/>
        <v>0</v>
      </c>
      <c r="E214" s="256">
        <v>100</v>
      </c>
      <c r="F214" s="417">
        <f t="shared" si="32"/>
        <v>333624.09277456644</v>
      </c>
      <c r="G214" s="256"/>
      <c r="H214" s="417">
        <f t="shared" si="33"/>
        <v>0</v>
      </c>
      <c r="I214" s="418"/>
      <c r="J214" s="419">
        <f t="shared" si="34"/>
        <v>0</v>
      </c>
      <c r="K214" s="420"/>
    </row>
    <row r="215" spans="1:15">
      <c r="A215" s="259" t="s">
        <v>275</v>
      </c>
      <c r="B215" s="340">
        <f>ตาราง3!E36</f>
        <v>533798.54843930632</v>
      </c>
      <c r="C215" s="256"/>
      <c r="D215" s="417">
        <f t="shared" si="31"/>
        <v>0</v>
      </c>
      <c r="E215" s="256">
        <v>100</v>
      </c>
      <c r="F215" s="417">
        <f t="shared" si="32"/>
        <v>533798.54843930632</v>
      </c>
      <c r="G215" s="256"/>
      <c r="H215" s="417">
        <f t="shared" si="33"/>
        <v>0</v>
      </c>
      <c r="I215" s="418"/>
      <c r="J215" s="419">
        <f t="shared" si="34"/>
        <v>0</v>
      </c>
      <c r="K215" s="420"/>
    </row>
    <row r="216" spans="1:15">
      <c r="A216" s="259" t="s">
        <v>277</v>
      </c>
      <c r="B216" s="340">
        <f>ตาราง3!E37</f>
        <v>200174.45566473986</v>
      </c>
      <c r="C216" s="256"/>
      <c r="D216" s="417">
        <f t="shared" si="31"/>
        <v>0</v>
      </c>
      <c r="E216" s="256">
        <v>100</v>
      </c>
      <c r="F216" s="417">
        <f t="shared" si="32"/>
        <v>200174.45566473986</v>
      </c>
      <c r="G216" s="256"/>
      <c r="H216" s="417">
        <f t="shared" si="33"/>
        <v>0</v>
      </c>
      <c r="I216" s="418"/>
      <c r="J216" s="419">
        <f t="shared" si="34"/>
        <v>0</v>
      </c>
      <c r="K216" s="420"/>
    </row>
    <row r="217" spans="1:15">
      <c r="A217" s="259" t="s">
        <v>1480</v>
      </c>
      <c r="B217" s="340">
        <f>ตาราง3!E38</f>
        <v>233536.86494219652</v>
      </c>
      <c r="C217" s="256"/>
      <c r="D217" s="417">
        <f t="shared" si="31"/>
        <v>0</v>
      </c>
      <c r="E217" s="256"/>
      <c r="F217" s="417">
        <f t="shared" si="32"/>
        <v>0</v>
      </c>
      <c r="G217" s="256"/>
      <c r="H217" s="417">
        <f t="shared" si="33"/>
        <v>0</v>
      </c>
      <c r="I217" s="418">
        <v>100</v>
      </c>
      <c r="J217" s="419">
        <f t="shared" si="34"/>
        <v>233536.86494219652</v>
      </c>
      <c r="K217" s="420"/>
    </row>
    <row r="218" spans="1:15">
      <c r="A218" s="259" t="s">
        <v>281</v>
      </c>
      <c r="B218" s="340">
        <f>ตาราง3!E39</f>
        <v>266899.27421965316</v>
      </c>
      <c r="C218" s="256"/>
      <c r="D218" s="417">
        <f t="shared" si="31"/>
        <v>0</v>
      </c>
      <c r="E218" s="256">
        <v>100</v>
      </c>
      <c r="F218" s="417">
        <f t="shared" si="32"/>
        <v>266899.27421965316</v>
      </c>
      <c r="G218" s="256"/>
      <c r="H218" s="417">
        <f t="shared" si="33"/>
        <v>0</v>
      </c>
      <c r="I218" s="418"/>
      <c r="J218" s="419">
        <f t="shared" si="34"/>
        <v>0</v>
      </c>
      <c r="K218" s="420"/>
    </row>
    <row r="219" spans="1:15">
      <c r="A219" s="259" t="s">
        <v>283</v>
      </c>
      <c r="B219" s="340">
        <f>ตาราง3!E40</f>
        <v>40034.891132947974</v>
      </c>
      <c r="C219" s="256">
        <v>30</v>
      </c>
      <c r="D219" s="417">
        <f t="shared" si="31"/>
        <v>12010.467339884392</v>
      </c>
      <c r="E219" s="256">
        <v>70</v>
      </c>
      <c r="F219" s="417">
        <f t="shared" si="32"/>
        <v>28024.423793063583</v>
      </c>
      <c r="G219" s="256"/>
      <c r="H219" s="417">
        <f t="shared" si="33"/>
        <v>0</v>
      </c>
      <c r="I219" s="418"/>
      <c r="J219" s="419">
        <f t="shared" si="34"/>
        <v>0</v>
      </c>
      <c r="K219" s="420"/>
    </row>
    <row r="220" spans="1:15">
      <c r="A220" s="259" t="s">
        <v>284</v>
      </c>
      <c r="B220" s="340">
        <f>ตาราง3!E41</f>
        <v>26689.927421965316</v>
      </c>
      <c r="C220" s="256">
        <v>30</v>
      </c>
      <c r="D220" s="417">
        <f t="shared" si="31"/>
        <v>8006.9782265895956</v>
      </c>
      <c r="E220" s="256">
        <v>70</v>
      </c>
      <c r="F220" s="417">
        <f t="shared" si="32"/>
        <v>18682.949195375721</v>
      </c>
      <c r="G220" s="256"/>
      <c r="H220" s="417">
        <f t="shared" si="33"/>
        <v>0</v>
      </c>
      <c r="I220" s="418"/>
      <c r="J220" s="419">
        <f t="shared" si="34"/>
        <v>0</v>
      </c>
      <c r="K220" s="420"/>
    </row>
    <row r="221" spans="1:15">
      <c r="A221" s="259" t="s">
        <v>286</v>
      </c>
      <c r="B221" s="340">
        <f>ตาราง3!E42</f>
        <v>333624.09277456644</v>
      </c>
      <c r="C221" s="256">
        <v>40</v>
      </c>
      <c r="D221" s="417">
        <f t="shared" si="31"/>
        <v>133449.63710982658</v>
      </c>
      <c r="E221" s="256">
        <v>60</v>
      </c>
      <c r="F221" s="417">
        <f t="shared" si="32"/>
        <v>200174.45566473986</v>
      </c>
      <c r="G221" s="256"/>
      <c r="H221" s="417">
        <f t="shared" si="33"/>
        <v>0</v>
      </c>
      <c r="I221" s="418"/>
      <c r="J221" s="419">
        <f t="shared" si="34"/>
        <v>0</v>
      </c>
      <c r="K221" s="420"/>
    </row>
    <row r="222" spans="1:15">
      <c r="A222" s="907" t="s">
        <v>1548</v>
      </c>
      <c r="B222" s="340">
        <f>ตาราง3!E43</f>
        <v>33362.409277456645</v>
      </c>
      <c r="C222" s="256"/>
      <c r="D222" s="417">
        <f t="shared" si="31"/>
        <v>0</v>
      </c>
      <c r="E222" s="256"/>
      <c r="F222" s="417">
        <f t="shared" si="32"/>
        <v>0</v>
      </c>
      <c r="G222" s="256"/>
      <c r="H222" s="417">
        <f t="shared" si="33"/>
        <v>0</v>
      </c>
      <c r="I222" s="418">
        <v>100</v>
      </c>
      <c r="J222" s="419">
        <f t="shared" si="34"/>
        <v>33362.409277456645</v>
      </c>
      <c r="K222" s="420"/>
    </row>
    <row r="223" spans="1:15">
      <c r="A223" s="431" t="str">
        <f t="shared" ref="A223:A236" si="35">+A133</f>
        <v>กิจกรรมย่อยของหน่วยงานสนับสนุน</v>
      </c>
      <c r="B223" s="340"/>
      <c r="C223" s="256"/>
      <c r="D223" s="417">
        <f t="shared" si="31"/>
        <v>0</v>
      </c>
      <c r="E223" s="256"/>
      <c r="F223" s="417">
        <f t="shared" si="32"/>
        <v>0</v>
      </c>
      <c r="G223" s="256"/>
      <c r="H223" s="417">
        <f t="shared" si="33"/>
        <v>0</v>
      </c>
      <c r="I223" s="418"/>
      <c r="J223" s="419">
        <f t="shared" si="34"/>
        <v>0</v>
      </c>
      <c r="K223" s="420"/>
      <c r="L223" s="305"/>
      <c r="M223" s="305"/>
      <c r="N223" s="305"/>
      <c r="O223" s="305"/>
    </row>
    <row r="224" spans="1:15">
      <c r="A224" s="267" t="str">
        <f t="shared" si="35"/>
        <v>1.1. ควบคุม กำกับ ดูแลการบริหารงานให้เป็นไปตามภาระกิจของโรงพยาบาล</v>
      </c>
      <c r="B224" s="340">
        <f>ตาราง3!E47</f>
        <v>33362.409277456645</v>
      </c>
      <c r="C224" s="256">
        <v>25</v>
      </c>
      <c r="D224" s="417">
        <f t="shared" si="31"/>
        <v>8340.6023193641613</v>
      </c>
      <c r="E224" s="256">
        <v>25</v>
      </c>
      <c r="F224" s="417">
        <f t="shared" si="32"/>
        <v>8340.6023193641613</v>
      </c>
      <c r="G224" s="256">
        <v>25</v>
      </c>
      <c r="H224" s="417">
        <f t="shared" si="33"/>
        <v>8340.6023193641613</v>
      </c>
      <c r="I224" s="418">
        <v>25</v>
      </c>
      <c r="J224" s="419">
        <f t="shared" si="34"/>
        <v>8340.6023193641613</v>
      </c>
      <c r="K224" s="420"/>
      <c r="L224" s="305"/>
      <c r="M224" s="305"/>
      <c r="N224" s="305"/>
      <c r="O224" s="305"/>
    </row>
    <row r="225" spans="1:15">
      <c r="A225" s="267" t="str">
        <f t="shared" si="35"/>
        <v>2.1. ตรวจสอบและกลั่นกรองเรื่องต่างๆ เพื่อเสนอผู้บังคับบัญชา สั่งการ</v>
      </c>
      <c r="B225" s="340">
        <f>ตาราง3!E48</f>
        <v>33362.409277456645</v>
      </c>
      <c r="C225" s="256">
        <v>25</v>
      </c>
      <c r="D225" s="417">
        <f t="shared" si="31"/>
        <v>8340.6023193641613</v>
      </c>
      <c r="E225" s="256">
        <v>25</v>
      </c>
      <c r="F225" s="417">
        <f t="shared" si="32"/>
        <v>8340.6023193641613</v>
      </c>
      <c r="G225" s="256">
        <v>25</v>
      </c>
      <c r="H225" s="417">
        <f t="shared" si="33"/>
        <v>8340.6023193641613</v>
      </c>
      <c r="I225" s="418">
        <v>25</v>
      </c>
      <c r="J225" s="419">
        <f t="shared" si="34"/>
        <v>8340.6023193641613</v>
      </c>
      <c r="K225" s="420"/>
      <c r="L225" s="305"/>
      <c r="M225" s="305"/>
      <c r="N225" s="305"/>
      <c r="O225" s="305"/>
    </row>
    <row r="226" spans="1:15">
      <c r="A226" s="267" t="str">
        <f t="shared" si="35"/>
        <v>3.1. ร่างโต้ตอบหนังสือ ภายในหน่วยงานและ ภายนอกหน่วยงาน</v>
      </c>
      <c r="B226" s="340">
        <f>ตาราง3!E49</f>
        <v>130113.39618208092</v>
      </c>
      <c r="C226" s="256">
        <v>25</v>
      </c>
      <c r="D226" s="417">
        <f t="shared" si="31"/>
        <v>32528.34904552023</v>
      </c>
      <c r="E226" s="256">
        <v>25</v>
      </c>
      <c r="F226" s="417">
        <f t="shared" si="32"/>
        <v>32528.34904552023</v>
      </c>
      <c r="G226" s="256">
        <v>25</v>
      </c>
      <c r="H226" s="417">
        <f t="shared" si="33"/>
        <v>32528.34904552023</v>
      </c>
      <c r="I226" s="418">
        <v>25</v>
      </c>
      <c r="J226" s="419">
        <f t="shared" si="34"/>
        <v>32528.34904552023</v>
      </c>
      <c r="K226" s="420"/>
      <c r="L226" s="305"/>
      <c r="M226" s="305"/>
      <c r="N226" s="305"/>
      <c r="O226" s="305"/>
    </row>
    <row r="227" spans="1:15">
      <c r="A227" s="267" t="str">
        <f t="shared" si="35"/>
        <v>3.2.  รับ  ส่งจดหมาย พัสดุ ไปรษณีย์ของทางราชการ</v>
      </c>
      <c r="B227" s="340">
        <f>ตาราง3!E50</f>
        <v>70061.059482658966</v>
      </c>
      <c r="C227" s="256">
        <v>25</v>
      </c>
      <c r="D227" s="417">
        <f t="shared" si="31"/>
        <v>17515.264870664741</v>
      </c>
      <c r="E227" s="256">
        <v>25</v>
      </c>
      <c r="F227" s="417">
        <f t="shared" si="32"/>
        <v>17515.264870664741</v>
      </c>
      <c r="G227" s="256">
        <v>25</v>
      </c>
      <c r="H227" s="417">
        <f t="shared" si="33"/>
        <v>17515.264870664741</v>
      </c>
      <c r="I227" s="418">
        <v>25</v>
      </c>
      <c r="J227" s="419">
        <f t="shared" si="34"/>
        <v>17515.264870664741</v>
      </c>
      <c r="K227" s="420"/>
      <c r="L227" s="305"/>
      <c r="M227" s="305"/>
      <c r="N227" s="305"/>
      <c r="O227" s="305"/>
    </row>
    <row r="228" spans="1:15">
      <c r="A228" s="267" t="str">
        <f t="shared" si="35"/>
        <v>4.1. ให้บริการเจ้าหน้าที่ภายในจังหวัด</v>
      </c>
      <c r="B228" s="340">
        <f>ตาราง3!E51</f>
        <v>70061.059482658966</v>
      </c>
      <c r="C228" s="256">
        <v>25</v>
      </c>
      <c r="D228" s="417">
        <f t="shared" si="31"/>
        <v>17515.264870664741</v>
      </c>
      <c r="E228" s="256">
        <v>25</v>
      </c>
      <c r="F228" s="417">
        <f t="shared" si="32"/>
        <v>17515.264870664741</v>
      </c>
      <c r="G228" s="256">
        <v>25</v>
      </c>
      <c r="H228" s="417">
        <f t="shared" si="33"/>
        <v>17515.264870664741</v>
      </c>
      <c r="I228" s="418">
        <v>25</v>
      </c>
      <c r="J228" s="419">
        <f t="shared" si="34"/>
        <v>17515.264870664741</v>
      </c>
      <c r="K228" s="420"/>
      <c r="L228" s="305"/>
      <c r="M228" s="305"/>
      <c r="N228" s="305"/>
      <c r="O228" s="305"/>
    </row>
    <row r="229" spans="1:15">
      <c r="A229" s="267" t="str">
        <f t="shared" si="35"/>
        <v>4.2. ให้บริการเจ้าหน้าที่ต่างจังหวัด</v>
      </c>
      <c r="B229" s="340">
        <f>ตาราง3!E52</f>
        <v>30026.168349710981</v>
      </c>
      <c r="C229" s="256">
        <v>25</v>
      </c>
      <c r="D229" s="417">
        <f t="shared" si="31"/>
        <v>7506.5420874277452</v>
      </c>
      <c r="E229" s="256">
        <v>25</v>
      </c>
      <c r="F229" s="417">
        <f t="shared" si="32"/>
        <v>7506.5420874277452</v>
      </c>
      <c r="G229" s="256">
        <v>25</v>
      </c>
      <c r="H229" s="417">
        <f t="shared" si="33"/>
        <v>7506.5420874277452</v>
      </c>
      <c r="I229" s="418">
        <v>25</v>
      </c>
      <c r="J229" s="419">
        <f t="shared" si="34"/>
        <v>7506.5420874277452</v>
      </c>
      <c r="K229" s="420"/>
      <c r="L229" s="305"/>
      <c r="M229" s="305"/>
      <c r="N229" s="305"/>
      <c r="O229" s="305"/>
    </row>
    <row r="230" spans="1:15">
      <c r="A230" s="267" t="str">
        <f t="shared" si="35"/>
        <v>5.1.  ดูแล บำรุงรักษาเครื่องมือทางการแพทย์ต่างๆ</v>
      </c>
      <c r="B230" s="340">
        <f>ตาราง3!E53</f>
        <v>200174.45566473986</v>
      </c>
      <c r="C230" s="256">
        <v>25</v>
      </c>
      <c r="D230" s="417">
        <f t="shared" si="31"/>
        <v>50043.613916184964</v>
      </c>
      <c r="E230" s="256">
        <v>25</v>
      </c>
      <c r="F230" s="417">
        <f t="shared" si="32"/>
        <v>50043.613916184964</v>
      </c>
      <c r="G230" s="256">
        <v>25</v>
      </c>
      <c r="H230" s="417">
        <f t="shared" si="33"/>
        <v>50043.613916184964</v>
      </c>
      <c r="I230" s="418">
        <v>25</v>
      </c>
      <c r="J230" s="419">
        <f t="shared" si="34"/>
        <v>50043.613916184964</v>
      </c>
      <c r="K230" s="420"/>
      <c r="L230" s="305"/>
      <c r="M230" s="305"/>
      <c r="N230" s="305"/>
      <c r="O230" s="305"/>
    </row>
    <row r="231" spans="1:15">
      <c r="A231" s="267" t="str">
        <f t="shared" si="35"/>
        <v>6.1. จำนวนรายการเอกสารเบิกจ่ายเงินในระบบ GFMIS</v>
      </c>
      <c r="B231" s="340">
        <f>ตาราง3!E54</f>
        <v>300261.6834971098</v>
      </c>
      <c r="C231" s="256">
        <v>25</v>
      </c>
      <c r="D231" s="417">
        <f t="shared" si="31"/>
        <v>75065.42087427745</v>
      </c>
      <c r="E231" s="256">
        <v>25</v>
      </c>
      <c r="F231" s="417">
        <f t="shared" si="32"/>
        <v>75065.42087427745</v>
      </c>
      <c r="G231" s="256">
        <v>25</v>
      </c>
      <c r="H231" s="417">
        <f t="shared" si="33"/>
        <v>75065.42087427745</v>
      </c>
      <c r="I231" s="418">
        <v>25</v>
      </c>
      <c r="J231" s="419">
        <f t="shared" si="34"/>
        <v>75065.42087427745</v>
      </c>
      <c r="K231" s="420"/>
      <c r="L231" s="305"/>
      <c r="M231" s="305"/>
      <c r="N231" s="305"/>
      <c r="O231" s="305"/>
    </row>
    <row r="232" spans="1:15">
      <c r="A232" s="267" t="str">
        <f t="shared" si="35"/>
        <v>7.1. จำนวนครั้งของการจัดซื้อในระบบ GFMIS</v>
      </c>
      <c r="B232" s="340">
        <f>ตาราง3!E55</f>
        <v>233536.86494219652</v>
      </c>
      <c r="C232" s="256">
        <v>25</v>
      </c>
      <c r="D232" s="417">
        <f t="shared" si="31"/>
        <v>58384.216235549131</v>
      </c>
      <c r="E232" s="256">
        <v>25</v>
      </c>
      <c r="F232" s="417">
        <f t="shared" si="32"/>
        <v>58384.216235549131</v>
      </c>
      <c r="G232" s="256">
        <v>25</v>
      </c>
      <c r="H232" s="417">
        <f t="shared" si="33"/>
        <v>58384.216235549131</v>
      </c>
      <c r="I232" s="418">
        <v>25</v>
      </c>
      <c r="J232" s="419">
        <f t="shared" si="34"/>
        <v>58384.216235549131</v>
      </c>
      <c r="K232" s="420"/>
      <c r="L232" s="305"/>
      <c r="M232" s="243" t="s">
        <v>383</v>
      </c>
    </row>
    <row r="233" spans="1:15">
      <c r="A233" s="267" t="str">
        <f t="shared" si="35"/>
        <v>8.1. จัดทำแผนเงินงบประมาณ/เงินบำรุง</v>
      </c>
      <c r="B233" s="340">
        <f>ตาราง3!E56</f>
        <v>50043.613916184964</v>
      </c>
      <c r="C233" s="256">
        <v>25</v>
      </c>
      <c r="D233" s="417">
        <f t="shared" si="31"/>
        <v>12510.903479046241</v>
      </c>
      <c r="E233" s="256">
        <v>25</v>
      </c>
      <c r="F233" s="417">
        <f t="shared" si="32"/>
        <v>12510.903479046241</v>
      </c>
      <c r="G233" s="256">
        <v>25</v>
      </c>
      <c r="H233" s="417">
        <f t="shared" si="33"/>
        <v>12510.903479046241</v>
      </c>
      <c r="I233" s="418">
        <v>25</v>
      </c>
      <c r="J233" s="419">
        <f t="shared" si="34"/>
        <v>12510.903479046241</v>
      </c>
      <c r="K233" s="420"/>
      <c r="M233" s="243"/>
    </row>
    <row r="234" spans="1:15">
      <c r="A234" s="267" t="str">
        <f t="shared" si="35"/>
        <v>8.2. ตรวจสอบและรายงานผลการดำเนินงาน</v>
      </c>
      <c r="B234" s="340">
        <f>ตาราง3!E57</f>
        <v>50043.613916184964</v>
      </c>
      <c r="C234" s="256">
        <v>25</v>
      </c>
      <c r="D234" s="417">
        <f t="shared" si="31"/>
        <v>12510.903479046241</v>
      </c>
      <c r="E234" s="256">
        <v>25</v>
      </c>
      <c r="F234" s="417">
        <f t="shared" si="32"/>
        <v>12510.903479046241</v>
      </c>
      <c r="G234" s="256">
        <v>25</v>
      </c>
      <c r="H234" s="417">
        <f t="shared" si="33"/>
        <v>12510.903479046241</v>
      </c>
      <c r="I234" s="418">
        <v>25</v>
      </c>
      <c r="J234" s="419">
        <f t="shared" si="34"/>
        <v>12510.903479046241</v>
      </c>
      <c r="K234" s="420"/>
      <c r="M234" s="243"/>
    </row>
    <row r="235" spans="1:15">
      <c r="A235" s="267" t="str">
        <f t="shared" si="35"/>
        <v>9.1. ประสานสิทธิและส่งต่อผู้ป่วย</v>
      </c>
      <c r="B235" s="340">
        <f>ตาราง3!E58</f>
        <v>46707.372988439303</v>
      </c>
      <c r="C235" s="256">
        <v>25</v>
      </c>
      <c r="D235" s="417">
        <f t="shared" ref="D235:D255" si="36">+B235*C235/100</f>
        <v>11676.843247109826</v>
      </c>
      <c r="E235" s="256">
        <v>25</v>
      </c>
      <c r="F235" s="417">
        <f t="shared" ref="F235:F255" si="37">+B235*E235/100</f>
        <v>11676.843247109826</v>
      </c>
      <c r="G235" s="256">
        <v>25</v>
      </c>
      <c r="H235" s="417">
        <f t="shared" ref="H235:H255" si="38">+B235*G235/100</f>
        <v>11676.843247109826</v>
      </c>
      <c r="I235" s="256">
        <v>25</v>
      </c>
      <c r="J235" s="419">
        <f t="shared" ref="J235:J255" si="39">+B235*I235/100</f>
        <v>11676.843247109826</v>
      </c>
      <c r="K235" s="420"/>
      <c r="M235" s="243"/>
    </row>
    <row r="236" spans="1:15">
      <c r="A236" s="267" t="str">
        <f t="shared" si="35"/>
        <v>9.2. ดำเนินการเรียกเก็บเงินค่ารักษาพยาบาลสิทธิทุกประเภท</v>
      </c>
      <c r="B236" s="340">
        <f>ตาราง3!E59</f>
        <v>93414.745976878607</v>
      </c>
      <c r="C236" s="256">
        <v>25</v>
      </c>
      <c r="D236" s="417">
        <f t="shared" si="36"/>
        <v>23353.686494219652</v>
      </c>
      <c r="E236" s="256">
        <v>25</v>
      </c>
      <c r="F236" s="417">
        <f t="shared" si="37"/>
        <v>23353.686494219652</v>
      </c>
      <c r="G236" s="256">
        <v>25</v>
      </c>
      <c r="H236" s="417">
        <f t="shared" si="38"/>
        <v>23353.686494219652</v>
      </c>
      <c r="I236" s="256">
        <v>25</v>
      </c>
      <c r="J236" s="419">
        <f t="shared" si="39"/>
        <v>23353.686494219652</v>
      </c>
      <c r="K236" s="420"/>
      <c r="M236" s="243"/>
    </row>
    <row r="237" spans="1:15">
      <c r="A237" s="252" t="s">
        <v>1533</v>
      </c>
      <c r="B237" s="340">
        <f>ตาราง3!E60</f>
        <v>93414.745976878607</v>
      </c>
      <c r="C237" s="256">
        <v>25</v>
      </c>
      <c r="D237" s="417">
        <f t="shared" si="36"/>
        <v>23353.686494219652</v>
      </c>
      <c r="E237" s="256">
        <v>25</v>
      </c>
      <c r="F237" s="417">
        <f t="shared" si="37"/>
        <v>23353.686494219652</v>
      </c>
      <c r="G237" s="256">
        <v>25</v>
      </c>
      <c r="H237" s="417">
        <f t="shared" si="38"/>
        <v>23353.686494219652</v>
      </c>
      <c r="I237" s="256">
        <v>25</v>
      </c>
      <c r="J237" s="419">
        <f t="shared" si="39"/>
        <v>23353.686494219652</v>
      </c>
      <c r="K237" s="420"/>
      <c r="M237" s="243"/>
    </row>
    <row r="238" spans="1:15">
      <c r="A238" s="267" t="str">
        <f>+A148</f>
        <v>10.1. จำนวนบุคคลากรเดินทางไปประชุม/สัมมนา</v>
      </c>
      <c r="B238" s="340">
        <f>ตาราง3!E61</f>
        <v>33362.409277456645</v>
      </c>
      <c r="C238" s="256">
        <v>25</v>
      </c>
      <c r="D238" s="417">
        <f t="shared" si="36"/>
        <v>8340.6023193641613</v>
      </c>
      <c r="E238" s="256">
        <v>25</v>
      </c>
      <c r="F238" s="417">
        <f t="shared" si="37"/>
        <v>8340.6023193641613</v>
      </c>
      <c r="G238" s="256">
        <v>25</v>
      </c>
      <c r="H238" s="417">
        <f t="shared" si="38"/>
        <v>8340.6023193641613</v>
      </c>
      <c r="I238" s="418">
        <v>25</v>
      </c>
      <c r="J238" s="419">
        <f t="shared" si="39"/>
        <v>8340.6023193641613</v>
      </c>
      <c r="K238" s="420"/>
      <c r="M238" s="243"/>
    </row>
    <row r="239" spans="1:15">
      <c r="A239" s="267" t="str">
        <f>+A149</f>
        <v>11.1. ดำเนินการเกี่ยวกับการพัฒนาทรัพยากรบุคคลในหน่วยงาน</v>
      </c>
      <c r="B239" s="340">
        <f>ตาราง3!E62</f>
        <v>66724.81855491329</v>
      </c>
      <c r="C239" s="256">
        <v>25</v>
      </c>
      <c r="D239" s="417">
        <f t="shared" si="36"/>
        <v>16681.204638728323</v>
      </c>
      <c r="E239" s="256">
        <v>25</v>
      </c>
      <c r="F239" s="417">
        <f t="shared" si="37"/>
        <v>16681.204638728323</v>
      </c>
      <c r="G239" s="256">
        <v>25</v>
      </c>
      <c r="H239" s="417">
        <f t="shared" si="38"/>
        <v>16681.204638728323</v>
      </c>
      <c r="I239" s="418">
        <v>25</v>
      </c>
      <c r="J239" s="419">
        <f t="shared" si="39"/>
        <v>16681.204638728323</v>
      </c>
      <c r="K239" s="420"/>
      <c r="M239" s="243"/>
    </row>
    <row r="240" spans="1:15">
      <c r="A240" s="267" t="str">
        <f>+A150</f>
        <v>12.1. ดำเนินการเกี่ยวกับการประเมินผลการปฏิบัติงานและสมรรถนะเพื่อการเลื่อนเงินเดือน</v>
      </c>
      <c r="B240" s="340">
        <f>ตาราง3!E63</f>
        <v>66724.81855491329</v>
      </c>
      <c r="C240" s="256">
        <v>25</v>
      </c>
      <c r="D240" s="417">
        <f t="shared" si="36"/>
        <v>16681.204638728323</v>
      </c>
      <c r="E240" s="256">
        <v>25</v>
      </c>
      <c r="F240" s="417">
        <f t="shared" si="37"/>
        <v>16681.204638728323</v>
      </c>
      <c r="G240" s="256">
        <v>25</v>
      </c>
      <c r="H240" s="417">
        <f t="shared" si="38"/>
        <v>16681.204638728323</v>
      </c>
      <c r="I240" s="418">
        <v>25</v>
      </c>
      <c r="J240" s="419">
        <f t="shared" si="39"/>
        <v>16681.204638728323</v>
      </c>
      <c r="K240" s="420"/>
    </row>
    <row r="241" spans="1:12">
      <c r="A241" s="267" t="str">
        <f>+A151</f>
        <v>13.1. บริการต้อนรับผู้ป่วยนอก</v>
      </c>
      <c r="B241" s="340">
        <f>ตาราง3!E64</f>
        <v>133449.63710982658</v>
      </c>
      <c r="C241" s="256">
        <v>25</v>
      </c>
      <c r="D241" s="417">
        <f t="shared" si="36"/>
        <v>33362.409277456645</v>
      </c>
      <c r="E241" s="256">
        <v>25</v>
      </c>
      <c r="F241" s="417">
        <f t="shared" si="37"/>
        <v>33362.409277456645</v>
      </c>
      <c r="G241" s="256">
        <v>25</v>
      </c>
      <c r="H241" s="417">
        <f t="shared" si="38"/>
        <v>33362.409277456645</v>
      </c>
      <c r="I241" s="418">
        <v>25</v>
      </c>
      <c r="J241" s="419">
        <f t="shared" si="39"/>
        <v>33362.409277456645</v>
      </c>
      <c r="K241" s="420"/>
    </row>
    <row r="242" spans="1:12">
      <c r="A242" s="432" t="str">
        <f>+A152</f>
        <v>14.1. ตรวจสอบและกลั่นกรองหนังสือเพื่อเสนอผู้อำนวยการ</v>
      </c>
      <c r="B242" s="422">
        <f>ตาราง3!E65</f>
        <v>133449.63710982658</v>
      </c>
      <c r="C242" s="423">
        <v>25</v>
      </c>
      <c r="D242" s="424">
        <f t="shared" si="36"/>
        <v>33362.409277456645</v>
      </c>
      <c r="E242" s="423">
        <v>25</v>
      </c>
      <c r="F242" s="424">
        <f t="shared" si="37"/>
        <v>33362.409277456645</v>
      </c>
      <c r="G242" s="423">
        <v>25</v>
      </c>
      <c r="H242" s="424">
        <f t="shared" si="38"/>
        <v>33362.409277456645</v>
      </c>
      <c r="I242" s="425">
        <v>25</v>
      </c>
      <c r="J242" s="426">
        <f t="shared" si="39"/>
        <v>33362.409277456645</v>
      </c>
      <c r="K242" s="420"/>
    </row>
    <row r="243" spans="1:12">
      <c r="A243" s="440" t="s">
        <v>227</v>
      </c>
      <c r="B243" s="441" t="s">
        <v>0</v>
      </c>
      <c r="C243" s="391" t="s">
        <v>364</v>
      </c>
      <c r="D243" s="410" t="s">
        <v>413</v>
      </c>
      <c r="E243" s="391" t="s">
        <v>364</v>
      </c>
      <c r="F243" s="410" t="s">
        <v>414</v>
      </c>
      <c r="G243" s="391" t="s">
        <v>364</v>
      </c>
      <c r="H243" s="410" t="s">
        <v>415</v>
      </c>
      <c r="I243" s="411" t="s">
        <v>364</v>
      </c>
      <c r="J243" s="427" t="s">
        <v>416</v>
      </c>
      <c r="K243" s="412"/>
    </row>
    <row r="244" spans="1:12">
      <c r="A244" s="250" t="str">
        <f t="shared" ref="A244:A255" si="40">+A154</f>
        <v>15.1. ให้รหัสโรคตามบัญชีจำแนกโรคของผู้ป่วยนอก</v>
      </c>
      <c r="B244" s="443">
        <f>ตาราง3!E66</f>
        <v>80069.782265895949</v>
      </c>
      <c r="C244" s="309">
        <v>25</v>
      </c>
      <c r="D244" s="444">
        <f t="shared" si="36"/>
        <v>20017.445566473987</v>
      </c>
      <c r="E244" s="309">
        <v>25</v>
      </c>
      <c r="F244" s="444">
        <f t="shared" si="37"/>
        <v>20017.445566473987</v>
      </c>
      <c r="G244" s="309">
        <v>25</v>
      </c>
      <c r="H244" s="444">
        <f t="shared" si="38"/>
        <v>20017.445566473987</v>
      </c>
      <c r="I244" s="445">
        <v>25</v>
      </c>
      <c r="J244" s="446">
        <f t="shared" si="39"/>
        <v>20017.445566473987</v>
      </c>
      <c r="K244" s="420"/>
    </row>
    <row r="245" spans="1:12">
      <c r="A245" s="267" t="str">
        <f t="shared" si="40"/>
        <v>15.2. ให้รหัสโรคตามบัญชีจำแนกโรคของผู้ป่วยใน</v>
      </c>
      <c r="B245" s="340">
        <f>ตาราง3!E67</f>
        <v>53379.854843930632</v>
      </c>
      <c r="C245" s="256">
        <v>25</v>
      </c>
      <c r="D245" s="417">
        <f t="shared" si="36"/>
        <v>13344.963710982658</v>
      </c>
      <c r="E245" s="256">
        <v>25</v>
      </c>
      <c r="F245" s="417">
        <f t="shared" si="37"/>
        <v>13344.963710982658</v>
      </c>
      <c r="G245" s="256">
        <v>25</v>
      </c>
      <c r="H245" s="417">
        <f t="shared" si="38"/>
        <v>13344.963710982658</v>
      </c>
      <c r="I245" s="418">
        <v>25</v>
      </c>
      <c r="J245" s="419">
        <f t="shared" si="39"/>
        <v>13344.963710982658</v>
      </c>
      <c r="K245" s="420"/>
    </row>
    <row r="246" spans="1:12">
      <c r="A246" s="267" t="str">
        <f t="shared" si="40"/>
        <v>16.1 บันทึกฐานข้อมูลผู้ป่วยใหม่/ปรับปรุงข้อมูลผู้ป่วยเก่า</v>
      </c>
      <c r="B246" s="340">
        <f>ตาราง3!E68</f>
        <v>116768.43247109825</v>
      </c>
      <c r="C246" s="256">
        <v>25</v>
      </c>
      <c r="D246" s="417">
        <f t="shared" si="36"/>
        <v>29192.108117774562</v>
      </c>
      <c r="E246" s="256">
        <v>25</v>
      </c>
      <c r="F246" s="417">
        <f t="shared" si="37"/>
        <v>29192.108117774562</v>
      </c>
      <c r="G246" s="256">
        <v>25</v>
      </c>
      <c r="H246" s="417">
        <f t="shared" si="38"/>
        <v>29192.108117774562</v>
      </c>
      <c r="I246" s="418">
        <v>25</v>
      </c>
      <c r="J246" s="419">
        <f t="shared" si="39"/>
        <v>29192.108117774562</v>
      </c>
      <c r="K246" s="420"/>
    </row>
    <row r="247" spans="1:12">
      <c r="A247" s="267" t="str">
        <f t="shared" si="40"/>
        <v>16.2 การค้นหาแฟ้มเวชระเบียน</v>
      </c>
      <c r="B247" s="340">
        <f>ตาราง3!E69</f>
        <v>116768.43247109825</v>
      </c>
      <c r="C247" s="256">
        <v>25</v>
      </c>
      <c r="D247" s="417">
        <f t="shared" si="36"/>
        <v>29192.108117774562</v>
      </c>
      <c r="E247" s="256">
        <v>25</v>
      </c>
      <c r="F247" s="417">
        <f t="shared" si="37"/>
        <v>29192.108117774562</v>
      </c>
      <c r="G247" s="256">
        <v>25</v>
      </c>
      <c r="H247" s="417">
        <f t="shared" si="38"/>
        <v>29192.108117774562</v>
      </c>
      <c r="I247" s="418">
        <v>25</v>
      </c>
      <c r="J247" s="419">
        <f t="shared" si="39"/>
        <v>29192.108117774562</v>
      </c>
      <c r="K247" s="420"/>
    </row>
    <row r="248" spans="1:12">
      <c r="A248" s="267" t="str">
        <f t="shared" si="40"/>
        <v>16.3 งานข้อมูลและสถิติทางการแพทย์</v>
      </c>
      <c r="B248" s="340">
        <f>ตาราง3!E70</f>
        <v>100087.22783236993</v>
      </c>
      <c r="C248" s="256">
        <v>25</v>
      </c>
      <c r="D248" s="417">
        <f t="shared" si="36"/>
        <v>25021.806958092482</v>
      </c>
      <c r="E248" s="256">
        <v>25</v>
      </c>
      <c r="F248" s="417">
        <f t="shared" si="37"/>
        <v>25021.806958092482</v>
      </c>
      <c r="G248" s="256">
        <v>25</v>
      </c>
      <c r="H248" s="417">
        <f t="shared" si="38"/>
        <v>25021.806958092482</v>
      </c>
      <c r="I248" s="418">
        <v>25</v>
      </c>
      <c r="J248" s="419">
        <f t="shared" si="39"/>
        <v>25021.806958092482</v>
      </c>
      <c r="K248" s="420"/>
    </row>
    <row r="249" spans="1:12">
      <c r="A249" s="267" t="str">
        <f t="shared" si="40"/>
        <v>17.1.ด้านจัดการข้อมูล</v>
      </c>
      <c r="B249" s="340">
        <f>ตาราง3!E71</f>
        <v>133449.63710982658</v>
      </c>
      <c r="C249" s="256">
        <v>25</v>
      </c>
      <c r="D249" s="417">
        <f t="shared" si="36"/>
        <v>33362.409277456645</v>
      </c>
      <c r="E249" s="256">
        <v>25</v>
      </c>
      <c r="F249" s="417">
        <f t="shared" si="37"/>
        <v>33362.409277456645</v>
      </c>
      <c r="G249" s="256">
        <v>25</v>
      </c>
      <c r="H249" s="417">
        <f t="shared" si="38"/>
        <v>33362.409277456645</v>
      </c>
      <c r="I249" s="418">
        <v>25</v>
      </c>
      <c r="J249" s="419">
        <f t="shared" si="39"/>
        <v>33362.409277456645</v>
      </c>
      <c r="K249" s="420"/>
    </row>
    <row r="250" spans="1:12">
      <c r="A250" s="267" t="str">
        <f t="shared" si="40"/>
        <v>18.1งานบำรุงรักษาเครื่องคอมพิวเตอร์ และระบบ HIS</v>
      </c>
      <c r="B250" s="340">
        <f>ตาราง3!E72</f>
        <v>100087.22783236993</v>
      </c>
      <c r="C250" s="256">
        <v>25</v>
      </c>
      <c r="D250" s="417">
        <f t="shared" si="36"/>
        <v>25021.806958092482</v>
      </c>
      <c r="E250" s="256">
        <v>25</v>
      </c>
      <c r="F250" s="417">
        <f t="shared" si="37"/>
        <v>25021.806958092482</v>
      </c>
      <c r="G250" s="256">
        <v>25</v>
      </c>
      <c r="H250" s="417">
        <f t="shared" si="38"/>
        <v>25021.806958092482</v>
      </c>
      <c r="I250" s="418">
        <v>25</v>
      </c>
      <c r="J250" s="419">
        <f t="shared" si="39"/>
        <v>25021.806958092482</v>
      </c>
      <c r="K250" s="420"/>
    </row>
    <row r="251" spans="1:12">
      <c r="A251" s="267" t="str">
        <f t="shared" si="40"/>
        <v>19.1บริการจัดห้องประชุม</v>
      </c>
      <c r="B251" s="340">
        <f>ตาราง3!E73</f>
        <v>100087.22783236993</v>
      </c>
      <c r="C251" s="256">
        <v>25</v>
      </c>
      <c r="D251" s="417">
        <f t="shared" si="36"/>
        <v>25021.806958092482</v>
      </c>
      <c r="E251" s="256">
        <v>25</v>
      </c>
      <c r="F251" s="417">
        <f t="shared" si="37"/>
        <v>25021.806958092482</v>
      </c>
      <c r="G251" s="256">
        <v>25</v>
      </c>
      <c r="H251" s="417">
        <f t="shared" si="38"/>
        <v>25021.806958092482</v>
      </c>
      <c r="I251" s="418">
        <v>25</v>
      </c>
      <c r="J251" s="419">
        <f t="shared" si="39"/>
        <v>25021.806958092482</v>
      </c>
      <c r="K251" s="420"/>
    </row>
    <row r="252" spans="1:12">
      <c r="A252" s="267" t="str">
        <f t="shared" si="40"/>
        <v>20.1การให้บริการตรวจพิเศษทางห้องปฏิบัติการ (HBV Viral Load)</v>
      </c>
      <c r="B252" s="340">
        <f>ตาราง3!E74</f>
        <v>140122.11896531793</v>
      </c>
      <c r="C252" s="256">
        <v>25</v>
      </c>
      <c r="D252" s="417">
        <f t="shared" si="36"/>
        <v>35030.529741329483</v>
      </c>
      <c r="E252" s="256">
        <v>25</v>
      </c>
      <c r="F252" s="417">
        <f t="shared" si="37"/>
        <v>35030.529741329483</v>
      </c>
      <c r="G252" s="256">
        <v>25</v>
      </c>
      <c r="H252" s="417">
        <f t="shared" si="38"/>
        <v>35030.529741329483</v>
      </c>
      <c r="I252" s="418">
        <v>25</v>
      </c>
      <c r="J252" s="419">
        <f t="shared" si="39"/>
        <v>35030.529741329483</v>
      </c>
      <c r="K252" s="420"/>
    </row>
    <row r="253" spans="1:12">
      <c r="A253" s="267" t="str">
        <f t="shared" si="40"/>
        <v>20.20จัดทำรายงานความก้าวหน้าของโครงการวิจัยงบประมาณประจำปี 2566</v>
      </c>
      <c r="B253" s="340">
        <f>ตาราง3!E75</f>
        <v>60052.336699421961</v>
      </c>
      <c r="C253" s="256">
        <v>25</v>
      </c>
      <c r="D253" s="417">
        <f t="shared" si="36"/>
        <v>15013.08417485549</v>
      </c>
      <c r="E253" s="256">
        <v>25</v>
      </c>
      <c r="F253" s="417">
        <f t="shared" si="37"/>
        <v>15013.08417485549</v>
      </c>
      <c r="G253" s="256">
        <v>25</v>
      </c>
      <c r="H253" s="417">
        <f t="shared" si="38"/>
        <v>15013.08417485549</v>
      </c>
      <c r="I253" s="418">
        <v>25</v>
      </c>
      <c r="J253" s="419">
        <f t="shared" si="39"/>
        <v>15013.08417485549</v>
      </c>
      <c r="K253" s="420"/>
    </row>
    <row r="254" spans="1:12">
      <c r="A254" s="267" t="str">
        <f t="shared" si="40"/>
        <v>21.1งานพัฒนานโยบาลและยุทธศาสตร์การแพทย์</v>
      </c>
      <c r="B254" s="340">
        <f>ตาราง3!E76</f>
        <v>133449.63710982658</v>
      </c>
      <c r="C254" s="256">
        <v>25</v>
      </c>
      <c r="D254" s="417">
        <f t="shared" si="36"/>
        <v>33362.409277456645</v>
      </c>
      <c r="E254" s="256">
        <v>25</v>
      </c>
      <c r="F254" s="417">
        <f t="shared" si="37"/>
        <v>33362.409277456645</v>
      </c>
      <c r="G254" s="256">
        <v>25</v>
      </c>
      <c r="H254" s="417">
        <f t="shared" si="38"/>
        <v>33362.409277456645</v>
      </c>
      <c r="I254" s="418">
        <v>25</v>
      </c>
      <c r="J254" s="419">
        <f t="shared" si="39"/>
        <v>33362.409277456645</v>
      </c>
      <c r="K254" s="420"/>
    </row>
    <row r="255" spans="1:12">
      <c r="A255" s="267" t="str">
        <f t="shared" si="40"/>
        <v>22.1ศูนย์พัฒนาคุณภาพ</v>
      </c>
      <c r="B255" s="340">
        <f>ตาราง3!E77</f>
        <v>66724.81855491329</v>
      </c>
      <c r="C255" s="256">
        <v>25</v>
      </c>
      <c r="D255" s="417">
        <f t="shared" si="36"/>
        <v>16681.204638728323</v>
      </c>
      <c r="E255" s="256">
        <v>25</v>
      </c>
      <c r="F255" s="417">
        <f t="shared" si="37"/>
        <v>16681.204638728323</v>
      </c>
      <c r="G255" s="256">
        <v>25</v>
      </c>
      <c r="H255" s="417">
        <f t="shared" si="38"/>
        <v>16681.204638728323</v>
      </c>
      <c r="I255" s="418">
        <v>25</v>
      </c>
      <c r="J255" s="419">
        <f t="shared" si="39"/>
        <v>16681.204638728323</v>
      </c>
      <c r="K255" s="420"/>
    </row>
    <row r="256" spans="1:12" ht="24.75" thickBot="1">
      <c r="A256" s="400" t="s">
        <v>1</v>
      </c>
      <c r="B256" s="450">
        <f>SUM(B183:B255)</f>
        <v>11543393.609999999</v>
      </c>
      <c r="C256" s="453"/>
      <c r="D256" s="453">
        <f>SUM(D183:D255)</f>
        <v>4911346.9945529457</v>
      </c>
      <c r="E256" s="453"/>
      <c r="F256" s="453">
        <f>SUM(F183:F255)</f>
        <v>4644981.5188817307</v>
      </c>
      <c r="G256" s="453"/>
      <c r="H256" s="453">
        <f>SUM(H183:H255)</f>
        <v>952830.40896416211</v>
      </c>
      <c r="I256" s="453"/>
      <c r="J256" s="454">
        <f>SUM(J183:J255)</f>
        <v>1034234.6876011562</v>
      </c>
      <c r="K256" s="268"/>
      <c r="L256" s="243">
        <f>D256+F256+H256+J256</f>
        <v>11543393.609999996</v>
      </c>
    </row>
    <row r="257" spans="1:11" ht="24.75" thickTop="1">
      <c r="A257" s="373"/>
      <c r="B257" s="356"/>
      <c r="C257" s="356"/>
      <c r="D257" s="356"/>
      <c r="E257" s="356"/>
      <c r="F257" s="356"/>
      <c r="G257" s="356"/>
      <c r="H257" s="356"/>
      <c r="I257" s="356"/>
      <c r="J257" s="356"/>
      <c r="K257" s="383"/>
    </row>
    <row r="258" spans="1:11">
      <c r="A258" s="264"/>
      <c r="B258" s="383"/>
      <c r="C258" s="383"/>
      <c r="D258" s="383"/>
      <c r="E258" s="383"/>
      <c r="F258" s="383"/>
      <c r="G258" s="383"/>
      <c r="H258" s="383"/>
      <c r="I258" s="383"/>
      <c r="J258" s="383"/>
      <c r="K258" s="383"/>
    </row>
    <row r="259" spans="1:11">
      <c r="A259" s="264"/>
      <c r="B259" s="383"/>
      <c r="C259" s="383"/>
      <c r="D259" s="383"/>
      <c r="E259" s="383"/>
      <c r="F259" s="383"/>
      <c r="G259" s="383"/>
      <c r="H259" s="383"/>
      <c r="I259" s="383"/>
      <c r="J259" s="383"/>
      <c r="K259" s="383"/>
    </row>
    <row r="260" spans="1:11">
      <c r="A260" s="264"/>
      <c r="B260" s="383"/>
      <c r="C260" s="383"/>
      <c r="D260" s="383"/>
      <c r="E260" s="383"/>
      <c r="F260" s="383"/>
      <c r="G260" s="383"/>
      <c r="H260" s="383"/>
      <c r="I260" s="383"/>
      <c r="J260" s="383"/>
      <c r="K260" s="383"/>
    </row>
    <row r="261" spans="1:11">
      <c r="A261" s="264"/>
      <c r="B261" s="383"/>
      <c r="C261" s="383"/>
      <c r="D261" s="383"/>
      <c r="E261" s="383"/>
      <c r="F261" s="383"/>
      <c r="G261" s="383"/>
      <c r="H261" s="383"/>
      <c r="I261" s="383"/>
      <c r="J261" s="383"/>
      <c r="K261" s="383"/>
    </row>
    <row r="262" spans="1:11">
      <c r="A262" s="264"/>
      <c r="B262" s="383"/>
      <c r="C262" s="383"/>
      <c r="D262" s="383"/>
      <c r="E262" s="383"/>
      <c r="F262" s="383"/>
      <c r="G262" s="383"/>
      <c r="H262" s="383"/>
      <c r="I262" s="383"/>
      <c r="J262" s="383"/>
      <c r="K262" s="383"/>
    </row>
    <row r="263" spans="1:11">
      <c r="A263" s="264"/>
      <c r="B263" s="383"/>
      <c r="C263" s="383"/>
      <c r="D263" s="383"/>
      <c r="E263" s="383"/>
      <c r="F263" s="383"/>
      <c r="G263" s="383"/>
      <c r="H263" s="383"/>
      <c r="I263" s="383"/>
      <c r="J263" s="383"/>
      <c r="K263" s="383"/>
    </row>
    <row r="264" spans="1:11">
      <c r="A264" s="264"/>
      <c r="B264" s="383"/>
      <c r="C264" s="383"/>
      <c r="D264" s="383"/>
      <c r="E264" s="383"/>
      <c r="F264" s="383"/>
      <c r="G264" s="383"/>
      <c r="H264" s="383"/>
      <c r="I264" s="383"/>
      <c r="J264" s="383"/>
      <c r="K264" s="383"/>
    </row>
    <row r="265" spans="1:11">
      <c r="A265" s="264"/>
      <c r="B265" s="383"/>
      <c r="C265" s="383"/>
      <c r="D265" s="383"/>
      <c r="E265" s="383"/>
      <c r="F265" s="383"/>
      <c r="G265" s="383"/>
      <c r="H265" s="383"/>
      <c r="I265" s="383"/>
      <c r="J265" s="383"/>
      <c r="K265" s="383"/>
    </row>
    <row r="266" spans="1:11">
      <c r="A266" s="264"/>
      <c r="B266" s="383"/>
      <c r="C266" s="383"/>
      <c r="D266" s="383"/>
      <c r="E266" s="383"/>
      <c r="F266" s="383"/>
      <c r="G266" s="383"/>
      <c r="H266" s="383"/>
      <c r="I266" s="383"/>
      <c r="J266" s="383"/>
      <c r="K266" s="383"/>
    </row>
    <row r="267" spans="1:11">
      <c r="A267" s="264"/>
      <c r="B267" s="383"/>
      <c r="C267" s="383"/>
      <c r="D267" s="383"/>
      <c r="E267" s="383"/>
      <c r="F267" s="383"/>
      <c r="G267" s="383"/>
      <c r="H267" s="383"/>
      <c r="I267" s="383"/>
      <c r="J267" s="383"/>
      <c r="K267" s="383"/>
    </row>
    <row r="268" spans="1:11">
      <c r="A268" s="264"/>
      <c r="B268" s="383"/>
      <c r="C268" s="383"/>
      <c r="D268" s="383"/>
      <c r="E268" s="383"/>
      <c r="F268" s="383"/>
      <c r="G268" s="383"/>
      <c r="H268" s="383"/>
      <c r="I268" s="383"/>
      <c r="J268" s="383"/>
      <c r="K268" s="383"/>
    </row>
    <row r="269" spans="1:11">
      <c r="A269" s="264"/>
      <c r="B269" s="383"/>
      <c r="C269" s="383"/>
      <c r="D269" s="383"/>
      <c r="E269" s="383"/>
      <c r="F269" s="383"/>
      <c r="G269" s="383"/>
      <c r="H269" s="383"/>
      <c r="I269" s="383"/>
      <c r="J269" s="383"/>
      <c r="K269" s="383"/>
    </row>
    <row r="270" spans="1:11">
      <c r="A270" s="264"/>
      <c r="B270" s="383"/>
      <c r="C270" s="383"/>
      <c r="D270" s="383"/>
      <c r="E270" s="383"/>
      <c r="F270" s="383"/>
      <c r="G270" s="383"/>
      <c r="H270" s="383"/>
      <c r="I270" s="383"/>
      <c r="J270" s="383"/>
      <c r="K270" s="383"/>
    </row>
    <row r="271" spans="1:11">
      <c r="A271" s="440" t="s">
        <v>227</v>
      </c>
      <c r="B271" s="441" t="s">
        <v>0</v>
      </c>
      <c r="C271" s="391" t="s">
        <v>364</v>
      </c>
      <c r="D271" s="410" t="s">
        <v>413</v>
      </c>
      <c r="E271" s="391" t="s">
        <v>364</v>
      </c>
      <c r="F271" s="410" t="s">
        <v>414</v>
      </c>
      <c r="G271" s="391" t="s">
        <v>364</v>
      </c>
      <c r="H271" s="410" t="s">
        <v>415</v>
      </c>
      <c r="I271" s="411" t="s">
        <v>364</v>
      </c>
      <c r="J271" s="427" t="s">
        <v>416</v>
      </c>
      <c r="K271" s="412"/>
    </row>
    <row r="272" spans="1:11">
      <c r="A272" s="455" t="s">
        <v>353</v>
      </c>
      <c r="B272" s="307"/>
      <c r="C272" s="307"/>
      <c r="D272" s="456"/>
      <c r="E272" s="307"/>
      <c r="F272" s="456"/>
      <c r="G272" s="307"/>
      <c r="H272" s="456"/>
      <c r="I272" s="457"/>
      <c r="J272" s="458"/>
      <c r="K272" s="412"/>
    </row>
    <row r="273" spans="1:11">
      <c r="A273" s="250" t="str">
        <f t="shared" ref="A273:A293" si="41">A183</f>
        <v>1.1 การตรวจคัดกรองมะเร็งปากมดลูกระยะเริ่มแรก</v>
      </c>
      <c r="B273" s="443">
        <f>ตาราง3!F5</f>
        <v>306.27127167630056</v>
      </c>
      <c r="C273" s="443">
        <v>100</v>
      </c>
      <c r="D273" s="444">
        <f>+B273*C273/100</f>
        <v>306.27127167630056</v>
      </c>
      <c r="E273" s="309"/>
      <c r="F273" s="444">
        <f>+B273*E273/100</f>
        <v>0</v>
      </c>
      <c r="G273" s="309"/>
      <c r="H273" s="444">
        <f>+B273*G273/100</f>
        <v>0</v>
      </c>
      <c r="I273" s="445"/>
      <c r="J273" s="446">
        <f>+B273*I273/100</f>
        <v>0</v>
      </c>
      <c r="K273" s="420"/>
    </row>
    <row r="274" spans="1:11">
      <c r="A274" s="267" t="str">
        <f t="shared" si="41"/>
        <v xml:space="preserve">2.1. การบริการผ่าตัดวินิจโรค  ค้นหาโรคมะเร็ง  </v>
      </c>
      <c r="B274" s="340">
        <f>ตาราง3!F6</f>
        <v>918.81381502890179</v>
      </c>
      <c r="C274" s="256">
        <v>0</v>
      </c>
      <c r="D274" s="417">
        <f t="shared" ref="D274:D300" si="42">+B274*C274/100</f>
        <v>0</v>
      </c>
      <c r="E274" s="256">
        <v>100</v>
      </c>
      <c r="F274" s="417">
        <f t="shared" ref="F274:F300" si="43">+B274*E274/100</f>
        <v>918.81381502890179</v>
      </c>
      <c r="G274" s="256"/>
      <c r="H274" s="417">
        <f t="shared" ref="H274:H300" si="44">+B274*G274/100</f>
        <v>0</v>
      </c>
      <c r="I274" s="418"/>
      <c r="J274" s="419">
        <f t="shared" ref="J274:J300" si="45">+B274*I274/100</f>
        <v>0</v>
      </c>
      <c r="K274" s="420"/>
    </row>
    <row r="275" spans="1:11">
      <c r="A275" s="267" t="str">
        <f t="shared" si="41"/>
        <v>3.1. ให้บริการการพยาบาลผู้ป่วยที่ได้รับการระงับความรู้สึกทุกประเภท</v>
      </c>
      <c r="B275" s="340">
        <f>ตาราง3!F7</f>
        <v>306.27127167630056</v>
      </c>
      <c r="C275" s="256">
        <v>0</v>
      </c>
      <c r="D275" s="417">
        <f t="shared" si="42"/>
        <v>0</v>
      </c>
      <c r="E275" s="256">
        <v>100</v>
      </c>
      <c r="F275" s="417">
        <f t="shared" si="43"/>
        <v>306.27127167630056</v>
      </c>
      <c r="G275" s="256"/>
      <c r="H275" s="417">
        <f t="shared" si="44"/>
        <v>0</v>
      </c>
      <c r="I275" s="418"/>
      <c r="J275" s="419">
        <f t="shared" si="45"/>
        <v>0</v>
      </c>
      <c r="K275" s="420"/>
    </row>
    <row r="276" spans="1:11">
      <c r="A276" s="267" t="str">
        <f t="shared" si="41"/>
        <v>4.1 ให้บริการรักษาผู้ป่วยนอก</v>
      </c>
      <c r="B276" s="340">
        <f>ตาราง3!F8</f>
        <v>1439.474976878613</v>
      </c>
      <c r="C276" s="256">
        <v>100</v>
      </c>
      <c r="D276" s="417">
        <f t="shared" si="42"/>
        <v>1439.474976878613</v>
      </c>
      <c r="E276" s="256"/>
      <c r="F276" s="417">
        <f t="shared" si="43"/>
        <v>0</v>
      </c>
      <c r="G276" s="256"/>
      <c r="H276" s="417">
        <f t="shared" si="44"/>
        <v>0</v>
      </c>
      <c r="I276" s="418"/>
      <c r="J276" s="419">
        <f t="shared" si="45"/>
        <v>0</v>
      </c>
      <c r="K276" s="420"/>
    </row>
    <row r="277" spans="1:11">
      <c r="A277" s="267" t="str">
        <f t="shared" si="41"/>
        <v>4.2 ให้บริการรักษาผู้ป่วยใน</v>
      </c>
      <c r="B277" s="340">
        <f>ตาราง3!F9</f>
        <v>91.881381502890179</v>
      </c>
      <c r="C277" s="256"/>
      <c r="D277" s="417">
        <f t="shared" si="42"/>
        <v>0</v>
      </c>
      <c r="E277" s="256">
        <v>100</v>
      </c>
      <c r="F277" s="417">
        <f t="shared" si="43"/>
        <v>91.881381502890179</v>
      </c>
      <c r="G277" s="256"/>
      <c r="H277" s="417">
        <f t="shared" si="44"/>
        <v>0</v>
      </c>
      <c r="I277" s="418"/>
      <c r="J277" s="419">
        <f t="shared" si="45"/>
        <v>0</v>
      </c>
      <c r="K277" s="420"/>
    </row>
    <row r="278" spans="1:11">
      <c r="A278" s="267" t="str">
        <f t="shared" si="41"/>
        <v>5.1 ให้บริการรักษาผู้ป่วยโรคมะเร็งด้วยยาเคมีบำบัด ผู้ป่วยนอก</v>
      </c>
      <c r="B278" s="340">
        <f>ตาราง3!F10</f>
        <v>303.20855895953758</v>
      </c>
      <c r="C278" s="256">
        <v>100</v>
      </c>
      <c r="D278" s="417">
        <f t="shared" si="42"/>
        <v>303.20855895953758</v>
      </c>
      <c r="E278" s="256"/>
      <c r="F278" s="417">
        <f t="shared" si="43"/>
        <v>0</v>
      </c>
      <c r="G278" s="256"/>
      <c r="H278" s="417">
        <f t="shared" si="44"/>
        <v>0</v>
      </c>
      <c r="I278" s="418"/>
      <c r="J278" s="419">
        <f t="shared" si="45"/>
        <v>0</v>
      </c>
      <c r="K278" s="420"/>
    </row>
    <row r="279" spans="1:11">
      <c r="A279" s="267" t="str">
        <f t="shared" si="41"/>
        <v>5.2 .ให้บริการรักษาผู้ป่วยโรคมะเร็งด้วยยาเคมีบำบัด ผู้ป่วยใน</v>
      </c>
      <c r="B279" s="340">
        <f>ตาราง3!F11</f>
        <v>615.60525606936415</v>
      </c>
      <c r="C279" s="256"/>
      <c r="D279" s="417">
        <f t="shared" si="42"/>
        <v>0</v>
      </c>
      <c r="E279" s="256">
        <v>100</v>
      </c>
      <c r="F279" s="417">
        <f t="shared" si="43"/>
        <v>615.60525606936415</v>
      </c>
      <c r="G279" s="256"/>
      <c r="H279" s="417">
        <f t="shared" si="44"/>
        <v>0</v>
      </c>
      <c r="I279" s="418"/>
      <c r="J279" s="419">
        <f t="shared" si="45"/>
        <v>0</v>
      </c>
      <c r="K279" s="420"/>
    </row>
    <row r="280" spans="1:11">
      <c r="A280" s="267" t="str">
        <f t="shared" si="41"/>
        <v>6.1. ให้บริการผู้ป่วยมะเร็งโสต ศอ นาสิก ด้วยรังสีรักษา</v>
      </c>
      <c r="B280" s="340">
        <f>ตาราง3!F12</f>
        <v>0</v>
      </c>
      <c r="C280" s="256">
        <v>0</v>
      </c>
      <c r="D280" s="417">
        <f t="shared" si="42"/>
        <v>0</v>
      </c>
      <c r="E280" s="256">
        <v>0</v>
      </c>
      <c r="F280" s="417">
        <f t="shared" si="43"/>
        <v>0</v>
      </c>
      <c r="G280" s="256"/>
      <c r="H280" s="417">
        <f t="shared" si="44"/>
        <v>0</v>
      </c>
      <c r="I280" s="418"/>
      <c r="J280" s="419">
        <f t="shared" si="45"/>
        <v>0</v>
      </c>
      <c r="K280" s="420"/>
    </row>
    <row r="281" spans="1:11">
      <c r="A281" s="267" t="str">
        <f t="shared" si="41"/>
        <v>7.1 ให้บริการรักษาทุกระบบด้านรังสีรักษา</v>
      </c>
      <c r="B281" s="340">
        <f>ตาราง3!F13</f>
        <v>7656.7817919075142</v>
      </c>
      <c r="C281" s="256">
        <v>100</v>
      </c>
      <c r="D281" s="417">
        <f t="shared" si="42"/>
        <v>7656.7817919075142</v>
      </c>
      <c r="E281" s="256"/>
      <c r="F281" s="417">
        <f t="shared" si="43"/>
        <v>0</v>
      </c>
      <c r="G281" s="256"/>
      <c r="H281" s="417">
        <f t="shared" si="44"/>
        <v>0</v>
      </c>
      <c r="I281" s="418"/>
      <c r="J281" s="419">
        <f t="shared" si="45"/>
        <v>0</v>
      </c>
      <c r="K281" s="420"/>
    </row>
    <row r="282" spans="1:11">
      <c r="A282" s="267" t="str">
        <f t="shared" si="41"/>
        <v>8.1 บริการตรวจค้นหาและศึกษาวิเคราะห์ความผิดปกติจากภาพถ่ายเอกซเรย์ปอด</v>
      </c>
      <c r="B282" s="340">
        <f>ตาราง3!F14</f>
        <v>3145.4059601156068</v>
      </c>
      <c r="C282" s="256">
        <v>80</v>
      </c>
      <c r="D282" s="417">
        <f t="shared" si="42"/>
        <v>2516.3247680924856</v>
      </c>
      <c r="E282" s="256">
        <v>20</v>
      </c>
      <c r="F282" s="417">
        <f t="shared" si="43"/>
        <v>629.08119202312139</v>
      </c>
      <c r="G282" s="256"/>
      <c r="H282" s="417">
        <f t="shared" si="44"/>
        <v>0</v>
      </c>
      <c r="I282" s="418"/>
      <c r="J282" s="419">
        <f t="shared" si="45"/>
        <v>0</v>
      </c>
      <c r="K282" s="420"/>
    </row>
    <row r="283" spans="1:11">
      <c r="A283" s="267" t="str">
        <f t="shared" si="41"/>
        <v>8.2 ให้บริการตรวจค้นหา ศึกษา วิเคราะห์มะเร็งของงานเอกซเรย์พิเศษ</v>
      </c>
      <c r="B283" s="340">
        <f>ตาราง3!F15</f>
        <v>39.815265317919078</v>
      </c>
      <c r="C283" s="256">
        <v>100</v>
      </c>
      <c r="D283" s="417">
        <f t="shared" si="42"/>
        <v>39.815265317919078</v>
      </c>
      <c r="E283" s="256"/>
      <c r="F283" s="417">
        <f t="shared" si="43"/>
        <v>0</v>
      </c>
      <c r="G283" s="256"/>
      <c r="H283" s="417">
        <f t="shared" si="44"/>
        <v>0</v>
      </c>
      <c r="I283" s="418"/>
      <c r="J283" s="419">
        <f t="shared" si="45"/>
        <v>0</v>
      </c>
      <c r="K283" s="420"/>
    </row>
    <row r="284" spans="1:11">
      <c r="A284" s="267" t="str">
        <f t="shared" si="41"/>
        <v>8.3. ให้บริการตรวจด้วยคลื่นเสียงความถี่สูง</v>
      </c>
      <c r="B284" s="340">
        <f>ตาราง3!F16</f>
        <v>557.41371445086702</v>
      </c>
      <c r="C284" s="256">
        <v>80</v>
      </c>
      <c r="D284" s="417">
        <f t="shared" si="42"/>
        <v>445.93097156069359</v>
      </c>
      <c r="E284" s="256">
        <v>20</v>
      </c>
      <c r="F284" s="417">
        <f t="shared" si="43"/>
        <v>111.4827428901734</v>
      </c>
      <c r="G284" s="256"/>
      <c r="H284" s="417">
        <f t="shared" si="44"/>
        <v>0</v>
      </c>
      <c r="I284" s="418"/>
      <c r="J284" s="419">
        <f t="shared" si="45"/>
        <v>0</v>
      </c>
      <c r="K284" s="420"/>
    </row>
    <row r="285" spans="1:11">
      <c r="A285" s="267" t="str">
        <f t="shared" si="41"/>
        <v>8.4 .ให้บริการตรวจเพื่อค้นหา รวมทั้งศึกษา วิเคราะห์โรคมะเร็งเต้านมและความผิดปกติของ</v>
      </c>
      <c r="B285" s="340">
        <f>ตาราง3!F17</f>
        <v>238.89159190751445</v>
      </c>
      <c r="C285" s="256">
        <v>100</v>
      </c>
      <c r="D285" s="417">
        <f t="shared" si="42"/>
        <v>238.89159190751445</v>
      </c>
      <c r="E285" s="256"/>
      <c r="F285" s="417">
        <f t="shared" si="43"/>
        <v>0</v>
      </c>
      <c r="G285" s="256"/>
      <c r="H285" s="417">
        <f t="shared" si="44"/>
        <v>0</v>
      </c>
      <c r="I285" s="418"/>
      <c r="J285" s="419">
        <f t="shared" si="45"/>
        <v>0</v>
      </c>
      <c r="K285" s="420"/>
    </row>
    <row r="286" spans="1:11">
      <c r="A286" s="267" t="str">
        <f t="shared" si="41"/>
        <v>เต้านมจากการถ่ายเอกซเรย์เต้านม</v>
      </c>
      <c r="B286" s="340">
        <f>ตาราง3!F18</f>
        <v>0</v>
      </c>
      <c r="C286" s="256"/>
      <c r="D286" s="417">
        <f t="shared" si="42"/>
        <v>0</v>
      </c>
      <c r="E286" s="256"/>
      <c r="F286" s="417">
        <f t="shared" si="43"/>
        <v>0</v>
      </c>
      <c r="G286" s="256"/>
      <c r="H286" s="417">
        <f t="shared" si="44"/>
        <v>0</v>
      </c>
      <c r="I286" s="418"/>
      <c r="J286" s="419">
        <f t="shared" si="45"/>
        <v>0</v>
      </c>
      <c r="K286" s="420"/>
    </row>
    <row r="287" spans="1:11">
      <c r="A287" s="267" t="str">
        <f t="shared" si="41"/>
        <v>9.1. ให้บริการตรวจวินิจฉัยและรักษาผู้ป่วยด้านเวชศาสตร์นิวเคลียร์</v>
      </c>
      <c r="B287" s="340">
        <f>ตาราง3!F19</f>
        <v>2756.4414450867057</v>
      </c>
      <c r="C287" s="256">
        <v>100</v>
      </c>
      <c r="D287" s="417">
        <f t="shared" si="42"/>
        <v>2756.4414450867057</v>
      </c>
      <c r="E287" s="256"/>
      <c r="F287" s="417">
        <f t="shared" si="43"/>
        <v>0</v>
      </c>
      <c r="G287" s="256"/>
      <c r="H287" s="417">
        <f t="shared" si="44"/>
        <v>0</v>
      </c>
      <c r="I287" s="418"/>
      <c r="J287" s="419">
        <f t="shared" si="45"/>
        <v>0</v>
      </c>
      <c r="K287" s="420"/>
    </row>
    <row r="288" spans="1:11">
      <c r="A288" s="267" t="str">
        <f t="shared" si="41"/>
        <v>10.1 บริการตรวจวินิจฉัยและค้นหาโรคมะเร็งงานพยาธิวิทยาคลินิค</v>
      </c>
      <c r="B288" s="340">
        <f>ตาราง3!F20</f>
        <v>1837.6276300578036</v>
      </c>
      <c r="C288" s="256">
        <v>100</v>
      </c>
      <c r="D288" s="417">
        <f t="shared" si="42"/>
        <v>1837.6276300578036</v>
      </c>
      <c r="E288" s="256"/>
      <c r="F288" s="417">
        <f t="shared" si="43"/>
        <v>0</v>
      </c>
      <c r="G288" s="256"/>
      <c r="H288" s="417">
        <f t="shared" si="44"/>
        <v>0</v>
      </c>
      <c r="I288" s="418"/>
      <c r="J288" s="419">
        <f t="shared" si="45"/>
        <v>0</v>
      </c>
      <c r="K288" s="420"/>
    </row>
    <row r="289" spans="1:12">
      <c r="A289" s="267" t="str">
        <f t="shared" si="41"/>
        <v>11.1 ให้การดูแลรักษา พยาบาลแก่ผู้ป่วยโดยทางยาและทางหัตถการ</v>
      </c>
      <c r="B289" s="340">
        <f>ตาราง3!F21</f>
        <v>1225.0850867052022</v>
      </c>
      <c r="C289" s="256"/>
      <c r="D289" s="417">
        <f t="shared" si="42"/>
        <v>0</v>
      </c>
      <c r="E289" s="256">
        <v>100</v>
      </c>
      <c r="F289" s="417">
        <f t="shared" si="43"/>
        <v>1225.0850867052022</v>
      </c>
      <c r="G289" s="256"/>
      <c r="H289" s="417">
        <f t="shared" si="44"/>
        <v>0</v>
      </c>
      <c r="I289" s="418"/>
      <c r="J289" s="419">
        <f t="shared" si="45"/>
        <v>0</v>
      </c>
      <c r="K289" s="420"/>
    </row>
    <row r="290" spans="1:12">
      <c r="A290" s="267" t="str">
        <f t="shared" si="41"/>
        <v>12.1 ให้บริการผู้ป่วยนอก</v>
      </c>
      <c r="B290" s="340">
        <f>ตาราง3!F22</f>
        <v>1163.8308323699423</v>
      </c>
      <c r="C290" s="256">
        <v>100</v>
      </c>
      <c r="D290" s="417">
        <f t="shared" si="42"/>
        <v>1163.8308323699423</v>
      </c>
      <c r="E290" s="256"/>
      <c r="F290" s="417">
        <f t="shared" si="43"/>
        <v>0</v>
      </c>
      <c r="G290" s="256"/>
      <c r="H290" s="417">
        <f t="shared" si="44"/>
        <v>0</v>
      </c>
      <c r="I290" s="418"/>
      <c r="J290" s="419">
        <f t="shared" si="45"/>
        <v>0</v>
      </c>
      <c r="K290" s="420"/>
    </row>
    <row r="291" spans="1:12">
      <c r="A291" s="267" t="str">
        <f t="shared" si="41"/>
        <v>12.2 ให้บริการผู้ป่วยใน</v>
      </c>
      <c r="B291" s="340">
        <f>ตาราง3!F23</f>
        <v>367.52552601156071</v>
      </c>
      <c r="C291" s="256"/>
      <c r="D291" s="417">
        <f t="shared" si="42"/>
        <v>0</v>
      </c>
      <c r="E291" s="256">
        <v>100</v>
      </c>
      <c r="F291" s="417">
        <f t="shared" si="43"/>
        <v>367.52552601156071</v>
      </c>
      <c r="G291" s="256"/>
      <c r="H291" s="417">
        <f t="shared" si="44"/>
        <v>0</v>
      </c>
      <c r="I291" s="418"/>
      <c r="J291" s="419">
        <f t="shared" si="45"/>
        <v>0</v>
      </c>
      <c r="K291" s="420"/>
    </row>
    <row r="292" spans="1:12">
      <c r="A292" s="267" t="str">
        <f t="shared" si="41"/>
        <v>13.1 จ่ายยาผู้ป่วยนอกตามใบสั่งยา</v>
      </c>
      <c r="B292" s="340">
        <f>ตาราง3!F24</f>
        <v>3840.6417468208092</v>
      </c>
      <c r="C292" s="256">
        <v>100</v>
      </c>
      <c r="D292" s="417">
        <f t="shared" si="42"/>
        <v>3840.6417468208092</v>
      </c>
      <c r="E292" s="256"/>
      <c r="F292" s="417">
        <f t="shared" si="43"/>
        <v>0</v>
      </c>
      <c r="G292" s="256"/>
      <c r="H292" s="417">
        <f t="shared" si="44"/>
        <v>0</v>
      </c>
      <c r="I292" s="418"/>
      <c r="J292" s="419">
        <f t="shared" si="45"/>
        <v>0</v>
      </c>
      <c r="K292" s="420"/>
    </row>
    <row r="293" spans="1:12">
      <c r="A293" s="267" t="str">
        <f t="shared" si="41"/>
        <v>13.2 จ่ายยาผู้ป่วยในตามใบสั่งยา</v>
      </c>
      <c r="B293" s="340">
        <f>ตาราง3!F25</f>
        <v>2897.3262300578035</v>
      </c>
      <c r="C293" s="256"/>
      <c r="D293" s="417">
        <f t="shared" si="42"/>
        <v>0</v>
      </c>
      <c r="E293" s="256">
        <v>100</v>
      </c>
      <c r="F293" s="417">
        <f t="shared" si="43"/>
        <v>2897.3262300578035</v>
      </c>
      <c r="G293" s="256"/>
      <c r="H293" s="417">
        <f t="shared" si="44"/>
        <v>0</v>
      </c>
      <c r="I293" s="418"/>
      <c r="J293" s="419">
        <f t="shared" si="45"/>
        <v>0</v>
      </c>
      <c r="K293" s="420"/>
    </row>
    <row r="294" spans="1:12">
      <c r="A294" s="259" t="s">
        <v>1462</v>
      </c>
      <c r="B294" s="340">
        <f>ตาราง3!F26</f>
        <v>441.03063121387282</v>
      </c>
      <c r="C294" s="256"/>
      <c r="D294" s="417">
        <f t="shared" si="42"/>
        <v>0</v>
      </c>
      <c r="E294" s="256">
        <v>100</v>
      </c>
      <c r="F294" s="417">
        <f t="shared" si="43"/>
        <v>441.03063121387282</v>
      </c>
      <c r="G294" s="256"/>
      <c r="H294" s="417">
        <f t="shared" si="44"/>
        <v>0</v>
      </c>
      <c r="I294" s="418"/>
      <c r="J294" s="419">
        <f t="shared" si="45"/>
        <v>0</v>
      </c>
      <c r="K294" s="420"/>
    </row>
    <row r="295" spans="1:12">
      <c r="A295" s="259" t="s">
        <v>1463</v>
      </c>
      <c r="B295" s="340">
        <f>ตาราง3!F27</f>
        <v>171.51191213872829</v>
      </c>
      <c r="C295" s="256"/>
      <c r="D295" s="417">
        <f t="shared" si="42"/>
        <v>0</v>
      </c>
      <c r="E295" s="256"/>
      <c r="F295" s="417">
        <f t="shared" si="43"/>
        <v>0</v>
      </c>
      <c r="G295" s="256">
        <v>100</v>
      </c>
      <c r="H295" s="417">
        <f t="shared" si="44"/>
        <v>171.51191213872829</v>
      </c>
      <c r="I295" s="418"/>
      <c r="J295" s="419">
        <f t="shared" si="45"/>
        <v>0</v>
      </c>
      <c r="K295" s="420"/>
    </row>
    <row r="296" spans="1:12">
      <c r="A296" s="267" t="str">
        <f>A206</f>
        <v>15.1 รับบริจาคโลหิต</v>
      </c>
      <c r="B296" s="340">
        <f>ตาราง3!F28</f>
        <v>735.05105202312131</v>
      </c>
      <c r="C296" s="256">
        <v>100</v>
      </c>
      <c r="D296" s="417">
        <f t="shared" si="42"/>
        <v>735.05105202312131</v>
      </c>
      <c r="E296" s="256"/>
      <c r="F296" s="417">
        <f t="shared" si="43"/>
        <v>0</v>
      </c>
      <c r="G296" s="256"/>
      <c r="H296" s="417">
        <f t="shared" si="44"/>
        <v>0</v>
      </c>
      <c r="I296" s="418"/>
      <c r="J296" s="419">
        <f t="shared" si="45"/>
        <v>0</v>
      </c>
      <c r="K296" s="420"/>
    </row>
    <row r="297" spans="1:12">
      <c r="A297" s="267" t="str">
        <f>A207</f>
        <v>15.2 งานตรวจผู้ปjวยเฉพาะทางโลหิตวิทยา</v>
      </c>
      <c r="B297" s="340">
        <f>ตาราง3!F29</f>
        <v>490.03403468208091</v>
      </c>
      <c r="C297" s="256">
        <v>100</v>
      </c>
      <c r="D297" s="417">
        <f t="shared" si="42"/>
        <v>490.03403468208091</v>
      </c>
      <c r="E297" s="256"/>
      <c r="F297" s="417">
        <f t="shared" si="43"/>
        <v>0</v>
      </c>
      <c r="G297" s="256"/>
      <c r="H297" s="417">
        <f t="shared" si="44"/>
        <v>0</v>
      </c>
      <c r="I297" s="418"/>
      <c r="J297" s="419">
        <f t="shared" si="45"/>
        <v>0</v>
      </c>
      <c r="K297" s="420"/>
    </row>
    <row r="298" spans="1:12">
      <c r="A298" s="267" t="str">
        <f>A208</f>
        <v>16.1 บริการตรวจวินิจฉัยและค้นหาโรคมะเร็งงานพยาธิวิทยาคลีนิค</v>
      </c>
      <c r="B298" s="340">
        <f>ตาราง3!F30</f>
        <v>3368.9839884393064</v>
      </c>
      <c r="C298" s="256">
        <v>100</v>
      </c>
      <c r="D298" s="417">
        <f t="shared" si="42"/>
        <v>3368.9839884393064</v>
      </c>
      <c r="E298" s="256"/>
      <c r="F298" s="417">
        <f t="shared" si="43"/>
        <v>0</v>
      </c>
      <c r="G298" s="256"/>
      <c r="H298" s="417">
        <f t="shared" si="44"/>
        <v>0</v>
      </c>
      <c r="I298" s="418"/>
      <c r="J298" s="419">
        <f t="shared" si="45"/>
        <v>0</v>
      </c>
      <c r="K298" s="420"/>
    </row>
    <row r="299" spans="1:12">
      <c r="A299" s="266" t="str">
        <f>A209</f>
        <v>17.1 ให้บริการรักษาผู้ป่วยนอกทั่วไป</v>
      </c>
      <c r="B299" s="459">
        <f>ตาราง3!F31</f>
        <v>9494.409421965318</v>
      </c>
      <c r="C299" s="460">
        <v>100</v>
      </c>
      <c r="D299" s="461">
        <f t="shared" si="42"/>
        <v>9494.409421965318</v>
      </c>
      <c r="E299" s="460"/>
      <c r="F299" s="461">
        <f t="shared" si="43"/>
        <v>0</v>
      </c>
      <c r="G299" s="460"/>
      <c r="H299" s="461">
        <f t="shared" si="44"/>
        <v>0</v>
      </c>
      <c r="I299" s="462"/>
      <c r="J299" s="463">
        <f t="shared" si="45"/>
        <v>0</v>
      </c>
      <c r="K299" s="420"/>
    </row>
    <row r="300" spans="1:12" s="432" customFormat="1">
      <c r="A300" s="432" t="str">
        <f>A210</f>
        <v>18.1 ให้บริการรักษาผู้ป่วยใน</v>
      </c>
      <c r="B300" s="422">
        <f>ตาราง3!F32</f>
        <v>13169.664682080926</v>
      </c>
      <c r="C300" s="423"/>
      <c r="D300" s="424">
        <f t="shared" si="42"/>
        <v>0</v>
      </c>
      <c r="E300" s="423">
        <v>100</v>
      </c>
      <c r="F300" s="424">
        <f t="shared" si="43"/>
        <v>13169.664682080926</v>
      </c>
      <c r="G300" s="423"/>
      <c r="H300" s="424">
        <f t="shared" si="44"/>
        <v>0</v>
      </c>
      <c r="I300" s="425"/>
      <c r="J300" s="426">
        <f t="shared" si="45"/>
        <v>0</v>
      </c>
      <c r="K300" s="420"/>
      <c r="L300" s="464"/>
    </row>
    <row r="301" spans="1:12">
      <c r="A301" s="440" t="s">
        <v>227</v>
      </c>
      <c r="B301" s="441" t="s">
        <v>0</v>
      </c>
      <c r="C301" s="391" t="s">
        <v>364</v>
      </c>
      <c r="D301" s="410" t="s">
        <v>413</v>
      </c>
      <c r="E301" s="391" t="s">
        <v>364</v>
      </c>
      <c r="F301" s="410" t="s">
        <v>414</v>
      </c>
      <c r="G301" s="391" t="s">
        <v>364</v>
      </c>
      <c r="H301" s="410" t="s">
        <v>415</v>
      </c>
      <c r="I301" s="411" t="s">
        <v>364</v>
      </c>
      <c r="J301" s="427" t="s">
        <v>416</v>
      </c>
      <c r="K301" s="412"/>
    </row>
    <row r="302" spans="1:12">
      <c r="A302" s="442" t="s">
        <v>269</v>
      </c>
      <c r="B302" s="443">
        <f>ตาราง3!F33</f>
        <v>1531.356358381503</v>
      </c>
      <c r="C302" s="309"/>
      <c r="D302" s="444">
        <f t="shared" ref="D302:D332" si="46">+B302*C302/100</f>
        <v>0</v>
      </c>
      <c r="E302" s="309"/>
      <c r="F302" s="444">
        <f t="shared" ref="F302:F332" si="47">+B302*E302/100</f>
        <v>0</v>
      </c>
      <c r="G302" s="309">
        <v>100</v>
      </c>
      <c r="H302" s="444">
        <f t="shared" ref="H302:H332" si="48">+B302*G302/100</f>
        <v>1531.356358381503</v>
      </c>
      <c r="I302" s="445"/>
      <c r="J302" s="446">
        <f t="shared" ref="J302:J332" si="49">+B302*I302/100</f>
        <v>0</v>
      </c>
      <c r="K302" s="420"/>
    </row>
    <row r="303" spans="1:12">
      <c r="A303" s="259" t="s">
        <v>271</v>
      </c>
      <c r="B303" s="340">
        <f>ตาราง3!F34</f>
        <v>306.27127167630056</v>
      </c>
      <c r="C303" s="256"/>
      <c r="D303" s="417">
        <f t="shared" si="46"/>
        <v>0</v>
      </c>
      <c r="E303" s="256">
        <v>100</v>
      </c>
      <c r="F303" s="417">
        <f t="shared" si="47"/>
        <v>306.27127167630056</v>
      </c>
      <c r="G303" s="256"/>
      <c r="H303" s="417">
        <f t="shared" si="48"/>
        <v>0</v>
      </c>
      <c r="I303" s="418"/>
      <c r="J303" s="419">
        <f t="shared" si="49"/>
        <v>0</v>
      </c>
      <c r="K303" s="420"/>
    </row>
    <row r="304" spans="1:12">
      <c r="A304" s="259" t="s">
        <v>273</v>
      </c>
      <c r="B304" s="340">
        <f>ตาราง3!F35</f>
        <v>3062.712716763006</v>
      </c>
      <c r="C304" s="256"/>
      <c r="D304" s="417">
        <f t="shared" si="46"/>
        <v>0</v>
      </c>
      <c r="E304" s="256">
        <v>100</v>
      </c>
      <c r="F304" s="417">
        <f t="shared" si="47"/>
        <v>3062.712716763006</v>
      </c>
      <c r="G304" s="256"/>
      <c r="H304" s="417">
        <f t="shared" si="48"/>
        <v>0</v>
      </c>
      <c r="I304" s="418"/>
      <c r="J304" s="419">
        <f t="shared" si="49"/>
        <v>0</v>
      </c>
      <c r="K304" s="420"/>
    </row>
    <row r="305" spans="1:11">
      <c r="A305" s="259" t="s">
        <v>275</v>
      </c>
      <c r="B305" s="340">
        <f>ตาราง3!F36</f>
        <v>4900.3403468208089</v>
      </c>
      <c r="C305" s="256"/>
      <c r="D305" s="417">
        <f t="shared" si="46"/>
        <v>0</v>
      </c>
      <c r="E305" s="256">
        <v>100</v>
      </c>
      <c r="F305" s="417">
        <f t="shared" si="47"/>
        <v>4900.3403468208089</v>
      </c>
      <c r="G305" s="256"/>
      <c r="H305" s="417">
        <f t="shared" si="48"/>
        <v>0</v>
      </c>
      <c r="I305" s="418"/>
      <c r="J305" s="419">
        <f t="shared" si="49"/>
        <v>0</v>
      </c>
      <c r="K305" s="420"/>
    </row>
    <row r="306" spans="1:11">
      <c r="A306" s="259" t="s">
        <v>277</v>
      </c>
      <c r="B306" s="340">
        <f>ตาราง3!F37</f>
        <v>1837.6276300578036</v>
      </c>
      <c r="C306" s="256"/>
      <c r="D306" s="417">
        <f t="shared" si="46"/>
        <v>0</v>
      </c>
      <c r="E306" s="256">
        <v>100</v>
      </c>
      <c r="F306" s="417">
        <f t="shared" si="47"/>
        <v>1837.6276300578036</v>
      </c>
      <c r="G306" s="256"/>
      <c r="H306" s="417">
        <f t="shared" si="48"/>
        <v>0</v>
      </c>
      <c r="I306" s="418"/>
      <c r="J306" s="419">
        <f t="shared" si="49"/>
        <v>0</v>
      </c>
      <c r="K306" s="420"/>
    </row>
    <row r="307" spans="1:11">
      <c r="A307" s="259" t="s">
        <v>1480</v>
      </c>
      <c r="B307" s="340">
        <f>ตาราง3!F38</f>
        <v>2143.8989017341041</v>
      </c>
      <c r="C307" s="256"/>
      <c r="D307" s="417">
        <f t="shared" si="46"/>
        <v>0</v>
      </c>
      <c r="E307" s="256"/>
      <c r="F307" s="417">
        <f t="shared" si="47"/>
        <v>0</v>
      </c>
      <c r="G307" s="256"/>
      <c r="H307" s="417">
        <f t="shared" si="48"/>
        <v>0</v>
      </c>
      <c r="I307" s="418">
        <v>100</v>
      </c>
      <c r="J307" s="419">
        <f t="shared" si="49"/>
        <v>2143.8989017341041</v>
      </c>
      <c r="K307" s="420"/>
    </row>
    <row r="308" spans="1:11">
      <c r="A308" s="259" t="s">
        <v>281</v>
      </c>
      <c r="B308" s="340">
        <f>ตาราง3!F39</f>
        <v>2450.1701734104045</v>
      </c>
      <c r="C308" s="256"/>
      <c r="D308" s="417">
        <f t="shared" si="46"/>
        <v>0</v>
      </c>
      <c r="E308" s="256">
        <v>100</v>
      </c>
      <c r="F308" s="417">
        <f t="shared" si="47"/>
        <v>2450.1701734104045</v>
      </c>
      <c r="G308" s="256"/>
      <c r="H308" s="417">
        <f t="shared" si="48"/>
        <v>0</v>
      </c>
      <c r="I308" s="418"/>
      <c r="J308" s="419">
        <f t="shared" si="49"/>
        <v>0</v>
      </c>
      <c r="K308" s="420"/>
    </row>
    <row r="309" spans="1:11">
      <c r="A309" s="259" t="s">
        <v>283</v>
      </c>
      <c r="B309" s="340">
        <f>ตาราง3!F40</f>
        <v>367.52552601156066</v>
      </c>
      <c r="C309" s="256">
        <v>30</v>
      </c>
      <c r="D309" s="417">
        <f t="shared" si="46"/>
        <v>110.25765780346819</v>
      </c>
      <c r="E309" s="256">
        <v>70</v>
      </c>
      <c r="F309" s="417">
        <f t="shared" si="47"/>
        <v>257.26786820809247</v>
      </c>
      <c r="G309" s="256"/>
      <c r="H309" s="417">
        <f t="shared" si="48"/>
        <v>0</v>
      </c>
      <c r="I309" s="418"/>
      <c r="J309" s="419">
        <f t="shared" si="49"/>
        <v>0</v>
      </c>
      <c r="K309" s="420"/>
    </row>
    <row r="310" spans="1:11">
      <c r="A310" s="259" t="s">
        <v>284</v>
      </c>
      <c r="B310" s="340">
        <f>ตาราง3!F41</f>
        <v>245.01701734104046</v>
      </c>
      <c r="C310" s="256">
        <v>30</v>
      </c>
      <c r="D310" s="417">
        <f t="shared" si="46"/>
        <v>73.505105202312137</v>
      </c>
      <c r="E310" s="256">
        <v>70</v>
      </c>
      <c r="F310" s="417">
        <f t="shared" si="47"/>
        <v>171.51191213872832</v>
      </c>
      <c r="G310" s="256"/>
      <c r="H310" s="417">
        <f t="shared" si="48"/>
        <v>0</v>
      </c>
      <c r="I310" s="418"/>
      <c r="J310" s="419">
        <f t="shared" si="49"/>
        <v>0</v>
      </c>
      <c r="K310" s="420"/>
    </row>
    <row r="311" spans="1:11">
      <c r="A311" s="259" t="s">
        <v>286</v>
      </c>
      <c r="B311" s="340">
        <f>ตาราง3!F42</f>
        <v>3062.712716763006</v>
      </c>
      <c r="C311" s="256">
        <v>40</v>
      </c>
      <c r="D311" s="417">
        <f t="shared" si="46"/>
        <v>1225.0850867052025</v>
      </c>
      <c r="E311" s="256">
        <v>60</v>
      </c>
      <c r="F311" s="417">
        <f t="shared" si="47"/>
        <v>1837.6276300578036</v>
      </c>
      <c r="G311" s="256"/>
      <c r="H311" s="417">
        <f t="shared" si="48"/>
        <v>0</v>
      </c>
      <c r="I311" s="418"/>
      <c r="J311" s="419">
        <f t="shared" si="49"/>
        <v>0</v>
      </c>
      <c r="K311" s="420"/>
    </row>
    <row r="312" spans="1:11">
      <c r="A312" s="907" t="s">
        <v>1548</v>
      </c>
      <c r="B312" s="340">
        <f>ตาราง3!F43</f>
        <v>306.27127167630056</v>
      </c>
      <c r="C312" s="256"/>
      <c r="D312" s="417">
        <f t="shared" si="46"/>
        <v>0</v>
      </c>
      <c r="E312" s="256"/>
      <c r="F312" s="417">
        <f t="shared" si="47"/>
        <v>0</v>
      </c>
      <c r="G312" s="256"/>
      <c r="H312" s="417">
        <f t="shared" si="48"/>
        <v>0</v>
      </c>
      <c r="I312" s="418">
        <v>100</v>
      </c>
      <c r="J312" s="419">
        <f t="shared" si="49"/>
        <v>306.27127167630056</v>
      </c>
      <c r="K312" s="420"/>
    </row>
    <row r="313" spans="1:11">
      <c r="A313" s="431" t="str">
        <f t="shared" ref="A313:A326" si="50">A223</f>
        <v>กิจกรรมย่อยของหน่วยงานสนับสนุน</v>
      </c>
      <c r="B313" s="340"/>
      <c r="C313" s="256"/>
      <c r="D313" s="417">
        <f t="shared" si="46"/>
        <v>0</v>
      </c>
      <c r="E313" s="256"/>
      <c r="F313" s="417">
        <f t="shared" si="47"/>
        <v>0</v>
      </c>
      <c r="G313" s="256"/>
      <c r="H313" s="417">
        <f t="shared" si="48"/>
        <v>0</v>
      </c>
      <c r="I313" s="418"/>
      <c r="J313" s="419">
        <f t="shared" si="49"/>
        <v>0</v>
      </c>
      <c r="K313" s="420"/>
    </row>
    <row r="314" spans="1:11">
      <c r="A314" s="267" t="str">
        <f t="shared" si="50"/>
        <v>1.1. ควบคุม กำกับ ดูแลการบริหารงานให้เป็นไปตามภาระกิจของโรงพยาบาล</v>
      </c>
      <c r="B314" s="340">
        <f>ตาราง3!F47</f>
        <v>306.27127167630056</v>
      </c>
      <c r="C314" s="256">
        <v>25</v>
      </c>
      <c r="D314" s="417">
        <f t="shared" si="46"/>
        <v>76.567817919075139</v>
      </c>
      <c r="E314" s="256">
        <v>25</v>
      </c>
      <c r="F314" s="417">
        <f t="shared" si="47"/>
        <v>76.567817919075139</v>
      </c>
      <c r="G314" s="256">
        <v>25</v>
      </c>
      <c r="H314" s="417">
        <f t="shared" si="48"/>
        <v>76.567817919075139</v>
      </c>
      <c r="I314" s="418">
        <v>25</v>
      </c>
      <c r="J314" s="419">
        <f t="shared" si="49"/>
        <v>76.567817919075139</v>
      </c>
      <c r="K314" s="420"/>
    </row>
    <row r="315" spans="1:11">
      <c r="A315" s="267" t="str">
        <f t="shared" si="50"/>
        <v>2.1. ตรวจสอบและกลั่นกรองเรื่องต่างๆ เพื่อเสนอผู้บังคับบัญชา สั่งการ</v>
      </c>
      <c r="B315" s="340">
        <f>ตาราง3!F48</f>
        <v>306.27127167630056</v>
      </c>
      <c r="C315" s="256">
        <v>25</v>
      </c>
      <c r="D315" s="417">
        <f t="shared" si="46"/>
        <v>76.567817919075139</v>
      </c>
      <c r="E315" s="256">
        <v>25</v>
      </c>
      <c r="F315" s="417">
        <f t="shared" si="47"/>
        <v>76.567817919075139</v>
      </c>
      <c r="G315" s="256">
        <v>25</v>
      </c>
      <c r="H315" s="417">
        <f t="shared" si="48"/>
        <v>76.567817919075139</v>
      </c>
      <c r="I315" s="418">
        <v>25</v>
      </c>
      <c r="J315" s="419">
        <f t="shared" si="49"/>
        <v>76.567817919075139</v>
      </c>
      <c r="K315" s="420"/>
    </row>
    <row r="316" spans="1:11">
      <c r="A316" s="267" t="str">
        <f t="shared" si="50"/>
        <v>3.1. ร่างโต้ตอบหนังสือ ภายในหน่วยงานและ ภายนอกหน่วยงาน</v>
      </c>
      <c r="B316" s="340">
        <f>ตาราง3!F49</f>
        <v>1194.4579595375724</v>
      </c>
      <c r="C316" s="256">
        <v>25</v>
      </c>
      <c r="D316" s="417">
        <f t="shared" si="46"/>
        <v>298.61448988439309</v>
      </c>
      <c r="E316" s="256">
        <v>25</v>
      </c>
      <c r="F316" s="417">
        <f t="shared" si="47"/>
        <v>298.61448988439309</v>
      </c>
      <c r="G316" s="256">
        <v>25</v>
      </c>
      <c r="H316" s="417">
        <f t="shared" si="48"/>
        <v>298.61448988439309</v>
      </c>
      <c r="I316" s="418">
        <v>25</v>
      </c>
      <c r="J316" s="419">
        <f t="shared" si="49"/>
        <v>298.61448988439309</v>
      </c>
      <c r="K316" s="420"/>
    </row>
    <row r="317" spans="1:11">
      <c r="A317" s="267" t="str">
        <f t="shared" si="50"/>
        <v>3.2.  รับ  ส่งจดหมาย พัสดุ ไปรษณีย์ของทางราชการ</v>
      </c>
      <c r="B317" s="340">
        <f>ตาราง3!F50</f>
        <v>643.16967052023119</v>
      </c>
      <c r="C317" s="256">
        <v>25</v>
      </c>
      <c r="D317" s="417">
        <f t="shared" si="46"/>
        <v>160.7924176300578</v>
      </c>
      <c r="E317" s="256">
        <v>25</v>
      </c>
      <c r="F317" s="417">
        <f t="shared" si="47"/>
        <v>160.7924176300578</v>
      </c>
      <c r="G317" s="256">
        <v>25</v>
      </c>
      <c r="H317" s="417">
        <f t="shared" si="48"/>
        <v>160.7924176300578</v>
      </c>
      <c r="I317" s="418">
        <v>25</v>
      </c>
      <c r="J317" s="419">
        <f t="shared" si="49"/>
        <v>160.7924176300578</v>
      </c>
      <c r="K317" s="420"/>
    </row>
    <row r="318" spans="1:11">
      <c r="A318" s="267" t="str">
        <f t="shared" si="50"/>
        <v>4.1. ให้บริการเจ้าหน้าที่ภายในจังหวัด</v>
      </c>
      <c r="B318" s="340">
        <f>ตาราง3!F51</f>
        <v>643.16967052023119</v>
      </c>
      <c r="C318" s="256">
        <v>25</v>
      </c>
      <c r="D318" s="417">
        <f t="shared" si="46"/>
        <v>160.7924176300578</v>
      </c>
      <c r="E318" s="256">
        <v>25</v>
      </c>
      <c r="F318" s="417">
        <f t="shared" si="47"/>
        <v>160.7924176300578</v>
      </c>
      <c r="G318" s="256">
        <v>25</v>
      </c>
      <c r="H318" s="417">
        <f t="shared" si="48"/>
        <v>160.7924176300578</v>
      </c>
      <c r="I318" s="418">
        <v>25</v>
      </c>
      <c r="J318" s="419">
        <f t="shared" si="49"/>
        <v>160.7924176300578</v>
      </c>
      <c r="K318" s="420"/>
    </row>
    <row r="319" spans="1:11">
      <c r="A319" s="267" t="str">
        <f t="shared" si="50"/>
        <v>4.2. ให้บริการเจ้าหน้าที่ต่างจังหวัด</v>
      </c>
      <c r="B319" s="340">
        <f>ตาราง3!F52</f>
        <v>275.64414450867054</v>
      </c>
      <c r="C319" s="256">
        <v>25</v>
      </c>
      <c r="D319" s="417">
        <f t="shared" si="46"/>
        <v>68.911036127167634</v>
      </c>
      <c r="E319" s="256">
        <v>25</v>
      </c>
      <c r="F319" s="417">
        <f t="shared" si="47"/>
        <v>68.911036127167634</v>
      </c>
      <c r="G319" s="256">
        <v>25</v>
      </c>
      <c r="H319" s="417">
        <f t="shared" si="48"/>
        <v>68.911036127167634</v>
      </c>
      <c r="I319" s="418">
        <v>25</v>
      </c>
      <c r="J319" s="419">
        <f t="shared" si="49"/>
        <v>68.911036127167634</v>
      </c>
      <c r="K319" s="420"/>
    </row>
    <row r="320" spans="1:11">
      <c r="A320" s="267" t="str">
        <f t="shared" si="50"/>
        <v>5.1.  ดูแล บำรุงรักษาเครื่องมือทางการแพทย์ต่างๆ</v>
      </c>
      <c r="B320" s="340">
        <f>ตาราง3!F53</f>
        <v>1837.6276300578036</v>
      </c>
      <c r="C320" s="256">
        <v>25</v>
      </c>
      <c r="D320" s="417">
        <f t="shared" si="46"/>
        <v>459.40690751445089</v>
      </c>
      <c r="E320" s="256">
        <v>25</v>
      </c>
      <c r="F320" s="417">
        <f t="shared" si="47"/>
        <v>459.40690751445089</v>
      </c>
      <c r="G320" s="256">
        <v>25</v>
      </c>
      <c r="H320" s="417">
        <f t="shared" si="48"/>
        <v>459.40690751445089</v>
      </c>
      <c r="I320" s="418">
        <v>25</v>
      </c>
      <c r="J320" s="419">
        <f t="shared" si="49"/>
        <v>459.40690751445089</v>
      </c>
      <c r="K320" s="420"/>
    </row>
    <row r="321" spans="1:11">
      <c r="A321" s="267" t="str">
        <f t="shared" si="50"/>
        <v>6.1. จำนวนรายการเอกสารเบิกจ่ายเงินในระบบ GFMIS</v>
      </c>
      <c r="B321" s="340">
        <f>ตาราง3!F54</f>
        <v>2756.4414450867057</v>
      </c>
      <c r="C321" s="256">
        <v>25</v>
      </c>
      <c r="D321" s="417">
        <f t="shared" si="46"/>
        <v>689.11036127167642</v>
      </c>
      <c r="E321" s="256">
        <v>25</v>
      </c>
      <c r="F321" s="417">
        <f t="shared" si="47"/>
        <v>689.11036127167642</v>
      </c>
      <c r="G321" s="256">
        <v>25</v>
      </c>
      <c r="H321" s="417">
        <f t="shared" si="48"/>
        <v>689.11036127167642</v>
      </c>
      <c r="I321" s="418">
        <v>25</v>
      </c>
      <c r="J321" s="419">
        <f t="shared" si="49"/>
        <v>689.11036127167642</v>
      </c>
      <c r="K321" s="420"/>
    </row>
    <row r="322" spans="1:11">
      <c r="A322" s="267" t="str">
        <f t="shared" si="50"/>
        <v>7.1. จำนวนครั้งของการจัดซื้อในระบบ GFMIS</v>
      </c>
      <c r="B322" s="340">
        <f>ตาราง3!F55</f>
        <v>2143.8989017341041</v>
      </c>
      <c r="C322" s="256">
        <v>25</v>
      </c>
      <c r="D322" s="417">
        <f t="shared" si="46"/>
        <v>535.97472543352603</v>
      </c>
      <c r="E322" s="256">
        <v>25</v>
      </c>
      <c r="F322" s="417">
        <f t="shared" si="47"/>
        <v>535.97472543352603</v>
      </c>
      <c r="G322" s="256">
        <v>25</v>
      </c>
      <c r="H322" s="417">
        <f t="shared" si="48"/>
        <v>535.97472543352603</v>
      </c>
      <c r="I322" s="418">
        <v>25</v>
      </c>
      <c r="J322" s="419">
        <f t="shared" si="49"/>
        <v>535.97472543352603</v>
      </c>
      <c r="K322" s="420"/>
    </row>
    <row r="323" spans="1:11">
      <c r="A323" s="267" t="str">
        <f t="shared" si="50"/>
        <v>8.1. จัดทำแผนเงินงบประมาณ/เงินบำรุง</v>
      </c>
      <c r="B323" s="340">
        <f>ตาราง3!F56</f>
        <v>459.40690751445089</v>
      </c>
      <c r="C323" s="256">
        <v>25</v>
      </c>
      <c r="D323" s="417">
        <f t="shared" si="46"/>
        <v>114.85172687861272</v>
      </c>
      <c r="E323" s="256">
        <v>25</v>
      </c>
      <c r="F323" s="417">
        <f t="shared" si="47"/>
        <v>114.85172687861272</v>
      </c>
      <c r="G323" s="256">
        <v>25</v>
      </c>
      <c r="H323" s="417">
        <f t="shared" si="48"/>
        <v>114.85172687861272</v>
      </c>
      <c r="I323" s="418">
        <v>25</v>
      </c>
      <c r="J323" s="419">
        <f t="shared" si="49"/>
        <v>114.85172687861272</v>
      </c>
      <c r="K323" s="420"/>
    </row>
    <row r="324" spans="1:11">
      <c r="A324" s="267" t="str">
        <f t="shared" si="50"/>
        <v>8.2. ตรวจสอบและรายงานผลการดำเนินงาน</v>
      </c>
      <c r="B324" s="340">
        <f>ตาราง3!F57</f>
        <v>459.40690751445089</v>
      </c>
      <c r="C324" s="256">
        <v>25</v>
      </c>
      <c r="D324" s="417">
        <f t="shared" si="46"/>
        <v>114.85172687861272</v>
      </c>
      <c r="E324" s="256">
        <v>25</v>
      </c>
      <c r="F324" s="417">
        <f t="shared" si="47"/>
        <v>114.85172687861272</v>
      </c>
      <c r="G324" s="256">
        <v>25</v>
      </c>
      <c r="H324" s="417">
        <f t="shared" si="48"/>
        <v>114.85172687861272</v>
      </c>
      <c r="I324" s="418">
        <v>25</v>
      </c>
      <c r="J324" s="419">
        <f t="shared" si="49"/>
        <v>114.85172687861272</v>
      </c>
      <c r="K324" s="420"/>
    </row>
    <row r="325" spans="1:11">
      <c r="A325" s="267" t="str">
        <f t="shared" si="50"/>
        <v>9.1. ประสานสิทธิและส่งต่อผู้ป่วย</v>
      </c>
      <c r="B325" s="340">
        <f>ตาราง3!F58</f>
        <v>428.77978034682087</v>
      </c>
      <c r="C325" s="256">
        <v>25</v>
      </c>
      <c r="D325" s="417">
        <f t="shared" si="46"/>
        <v>107.19494508670522</v>
      </c>
      <c r="E325" s="256">
        <v>25</v>
      </c>
      <c r="F325" s="417">
        <f t="shared" si="47"/>
        <v>107.19494508670522</v>
      </c>
      <c r="G325" s="256">
        <v>25</v>
      </c>
      <c r="H325" s="417">
        <f t="shared" si="48"/>
        <v>107.19494508670522</v>
      </c>
      <c r="I325" s="256">
        <v>25</v>
      </c>
      <c r="J325" s="419">
        <f t="shared" si="49"/>
        <v>107.19494508670522</v>
      </c>
      <c r="K325" s="420"/>
    </row>
    <row r="326" spans="1:11">
      <c r="A326" s="267" t="str">
        <f t="shared" si="50"/>
        <v>9.2. ดำเนินการเรียกเก็บเงินค่ารักษาพยาบาลสิทธิทุกประเภท</v>
      </c>
      <c r="B326" s="340">
        <f>ตาราง3!F59</f>
        <v>857.55956069364174</v>
      </c>
      <c r="C326" s="256">
        <v>25</v>
      </c>
      <c r="D326" s="417">
        <f t="shared" si="46"/>
        <v>214.38989017341044</v>
      </c>
      <c r="E326" s="256">
        <v>25</v>
      </c>
      <c r="F326" s="417">
        <f t="shared" si="47"/>
        <v>214.38989017341044</v>
      </c>
      <c r="G326" s="256">
        <v>25</v>
      </c>
      <c r="H326" s="417">
        <f t="shared" si="48"/>
        <v>214.38989017341044</v>
      </c>
      <c r="I326" s="256">
        <v>25</v>
      </c>
      <c r="J326" s="419">
        <f t="shared" si="49"/>
        <v>214.38989017341044</v>
      </c>
      <c r="K326" s="420"/>
    </row>
    <row r="327" spans="1:11">
      <c r="A327" s="252" t="s">
        <v>1533</v>
      </c>
      <c r="B327" s="340">
        <f>ตาราง3!F60</f>
        <v>857.55956069364174</v>
      </c>
      <c r="C327" s="256">
        <v>25</v>
      </c>
      <c r="D327" s="417">
        <f t="shared" si="46"/>
        <v>214.38989017341044</v>
      </c>
      <c r="E327" s="256">
        <v>25</v>
      </c>
      <c r="F327" s="417">
        <f t="shared" si="47"/>
        <v>214.38989017341044</v>
      </c>
      <c r="G327" s="256">
        <v>25</v>
      </c>
      <c r="H327" s="417">
        <f t="shared" si="48"/>
        <v>214.38989017341044</v>
      </c>
      <c r="I327" s="256">
        <v>25</v>
      </c>
      <c r="J327" s="419">
        <f t="shared" si="49"/>
        <v>214.38989017341044</v>
      </c>
      <c r="K327" s="420"/>
    </row>
    <row r="328" spans="1:11">
      <c r="A328" s="267" t="str">
        <f>A238</f>
        <v>10.1. จำนวนบุคคลากรเดินทางไปประชุม/สัมมนา</v>
      </c>
      <c r="B328" s="340">
        <f>ตาราง3!F61</f>
        <v>306.27127167630056</v>
      </c>
      <c r="C328" s="256">
        <v>25</v>
      </c>
      <c r="D328" s="417">
        <f t="shared" si="46"/>
        <v>76.567817919075139</v>
      </c>
      <c r="E328" s="256">
        <v>25</v>
      </c>
      <c r="F328" s="417">
        <f t="shared" si="47"/>
        <v>76.567817919075139</v>
      </c>
      <c r="G328" s="256">
        <v>25</v>
      </c>
      <c r="H328" s="417">
        <f t="shared" si="48"/>
        <v>76.567817919075139</v>
      </c>
      <c r="I328" s="418">
        <v>25</v>
      </c>
      <c r="J328" s="419">
        <f t="shared" si="49"/>
        <v>76.567817919075139</v>
      </c>
      <c r="K328" s="420"/>
    </row>
    <row r="329" spans="1:11">
      <c r="A329" s="267" t="str">
        <f>A239</f>
        <v>11.1. ดำเนินการเกี่ยวกับการพัฒนาทรัพยากรบุคคลในหน่วยงาน</v>
      </c>
      <c r="B329" s="340">
        <f>ตาราง3!F62</f>
        <v>612.54254335260111</v>
      </c>
      <c r="C329" s="256">
        <v>25</v>
      </c>
      <c r="D329" s="417">
        <f t="shared" si="46"/>
        <v>153.13563583815028</v>
      </c>
      <c r="E329" s="256">
        <v>25</v>
      </c>
      <c r="F329" s="417">
        <f t="shared" si="47"/>
        <v>153.13563583815028</v>
      </c>
      <c r="G329" s="256">
        <v>25</v>
      </c>
      <c r="H329" s="417">
        <f t="shared" si="48"/>
        <v>153.13563583815028</v>
      </c>
      <c r="I329" s="418">
        <v>25</v>
      </c>
      <c r="J329" s="419">
        <f t="shared" si="49"/>
        <v>153.13563583815028</v>
      </c>
      <c r="K329" s="420"/>
    </row>
    <row r="330" spans="1:11">
      <c r="A330" s="267" t="str">
        <f>A240</f>
        <v>12.1. ดำเนินการเกี่ยวกับการประเมินผลการปฏิบัติงานและสมรรถนะเพื่อการเลื่อนเงินเดือน</v>
      </c>
      <c r="B330" s="340">
        <f>ตาราง3!F63</f>
        <v>612.54254335260111</v>
      </c>
      <c r="C330" s="256">
        <v>25</v>
      </c>
      <c r="D330" s="417">
        <f t="shared" si="46"/>
        <v>153.13563583815028</v>
      </c>
      <c r="E330" s="256">
        <v>25</v>
      </c>
      <c r="F330" s="417">
        <f t="shared" si="47"/>
        <v>153.13563583815028</v>
      </c>
      <c r="G330" s="256">
        <v>25</v>
      </c>
      <c r="H330" s="417">
        <f t="shared" si="48"/>
        <v>153.13563583815028</v>
      </c>
      <c r="I330" s="418">
        <v>25</v>
      </c>
      <c r="J330" s="419">
        <f t="shared" si="49"/>
        <v>153.13563583815028</v>
      </c>
      <c r="K330" s="420"/>
    </row>
    <row r="331" spans="1:11">
      <c r="A331" s="267" t="str">
        <f>A241</f>
        <v>13.1. บริการต้อนรับผู้ป่วยนอก</v>
      </c>
      <c r="B331" s="340">
        <f>ตาราง3!F64</f>
        <v>1225.0850867052022</v>
      </c>
      <c r="C331" s="256">
        <v>25</v>
      </c>
      <c r="D331" s="417">
        <f t="shared" si="46"/>
        <v>306.27127167630056</v>
      </c>
      <c r="E331" s="256">
        <v>25</v>
      </c>
      <c r="F331" s="417">
        <f t="shared" si="47"/>
        <v>306.27127167630056</v>
      </c>
      <c r="G331" s="256">
        <v>25</v>
      </c>
      <c r="H331" s="417">
        <f t="shared" si="48"/>
        <v>306.27127167630056</v>
      </c>
      <c r="I331" s="418">
        <v>25</v>
      </c>
      <c r="J331" s="419">
        <f t="shared" si="49"/>
        <v>306.27127167630056</v>
      </c>
      <c r="K331" s="420"/>
    </row>
    <row r="332" spans="1:11">
      <c r="A332" s="432" t="str">
        <f>A242</f>
        <v>14.1. ตรวจสอบและกลั่นกรองหนังสือเพื่อเสนอผู้อำนวยการ</v>
      </c>
      <c r="B332" s="422">
        <f>ตาราง3!F65</f>
        <v>1225.0850867052022</v>
      </c>
      <c r="C332" s="423">
        <v>25</v>
      </c>
      <c r="D332" s="424">
        <f t="shared" si="46"/>
        <v>306.27127167630056</v>
      </c>
      <c r="E332" s="423">
        <v>25</v>
      </c>
      <c r="F332" s="424">
        <f t="shared" si="47"/>
        <v>306.27127167630056</v>
      </c>
      <c r="G332" s="423">
        <v>25</v>
      </c>
      <c r="H332" s="424">
        <f t="shared" si="48"/>
        <v>306.27127167630056</v>
      </c>
      <c r="I332" s="425">
        <v>25</v>
      </c>
      <c r="J332" s="426">
        <f t="shared" si="49"/>
        <v>306.27127167630056</v>
      </c>
      <c r="K332" s="420"/>
    </row>
    <row r="333" spans="1:11">
      <c r="A333" s="440" t="s">
        <v>227</v>
      </c>
      <c r="B333" s="441" t="s">
        <v>0</v>
      </c>
      <c r="C333" s="391" t="s">
        <v>364</v>
      </c>
      <c r="D333" s="410" t="s">
        <v>413</v>
      </c>
      <c r="E333" s="391" t="s">
        <v>364</v>
      </c>
      <c r="F333" s="410" t="s">
        <v>414</v>
      </c>
      <c r="G333" s="391" t="s">
        <v>364</v>
      </c>
      <c r="H333" s="410" t="s">
        <v>415</v>
      </c>
      <c r="I333" s="411" t="s">
        <v>364</v>
      </c>
      <c r="J333" s="427" t="s">
        <v>416</v>
      </c>
      <c r="K333" s="412"/>
    </row>
    <row r="334" spans="1:11">
      <c r="A334" s="465" t="str">
        <f t="shared" ref="A334:A343" si="51">A244</f>
        <v>15.1. ให้รหัสโรคตามบัญชีจำแนกโรคของผู้ป่วยนอก</v>
      </c>
      <c r="B334" s="466">
        <f>ตาราง3!F66</f>
        <v>735.05105202312131</v>
      </c>
      <c r="C334" s="329">
        <v>25</v>
      </c>
      <c r="D334" s="467">
        <f t="shared" ref="D334:D345" si="52">+B334*C334/100</f>
        <v>183.76276300578033</v>
      </c>
      <c r="E334" s="329">
        <v>25</v>
      </c>
      <c r="F334" s="467">
        <f t="shared" ref="F334:F345" si="53">+B334*E334/100</f>
        <v>183.76276300578033</v>
      </c>
      <c r="G334" s="329">
        <v>25</v>
      </c>
      <c r="H334" s="467">
        <f t="shared" ref="H334:H345" si="54">+B334*G334/100</f>
        <v>183.76276300578033</v>
      </c>
      <c r="I334" s="468">
        <v>25</v>
      </c>
      <c r="J334" s="469">
        <f t="shared" ref="J334:J345" si="55">+B334*I334/100</f>
        <v>183.76276300578033</v>
      </c>
      <c r="K334" s="420"/>
    </row>
    <row r="335" spans="1:11">
      <c r="A335" s="267" t="str">
        <f t="shared" si="51"/>
        <v>15.2. ให้รหัสโรคตามบัญชีจำแนกโรคของผู้ป่วยใน</v>
      </c>
      <c r="B335" s="340">
        <f>ตาราง3!F67</f>
        <v>490.03403468208091</v>
      </c>
      <c r="C335" s="256">
        <v>25</v>
      </c>
      <c r="D335" s="417">
        <f t="shared" si="52"/>
        <v>122.50850867052023</v>
      </c>
      <c r="E335" s="256">
        <v>25</v>
      </c>
      <c r="F335" s="417">
        <f t="shared" si="53"/>
        <v>122.50850867052023</v>
      </c>
      <c r="G335" s="256">
        <v>25</v>
      </c>
      <c r="H335" s="417">
        <f t="shared" si="54"/>
        <v>122.50850867052023</v>
      </c>
      <c r="I335" s="418">
        <v>25</v>
      </c>
      <c r="J335" s="419">
        <f t="shared" si="55"/>
        <v>122.50850867052023</v>
      </c>
      <c r="K335" s="420"/>
    </row>
    <row r="336" spans="1:11">
      <c r="A336" s="267" t="str">
        <f t="shared" si="51"/>
        <v>16.1 บันทึกฐานข้อมูลผู้ป่วยใหม่/ปรับปรุงข้อมูลผู้ป่วยเก่า</v>
      </c>
      <c r="B336" s="340">
        <f>ตาราง3!F68</f>
        <v>1071.9494508670521</v>
      </c>
      <c r="C336" s="256">
        <v>25</v>
      </c>
      <c r="D336" s="417">
        <f t="shared" si="52"/>
        <v>267.98736271676302</v>
      </c>
      <c r="E336" s="256">
        <v>25</v>
      </c>
      <c r="F336" s="417">
        <f t="shared" si="53"/>
        <v>267.98736271676302</v>
      </c>
      <c r="G336" s="256">
        <v>25</v>
      </c>
      <c r="H336" s="417">
        <f t="shared" si="54"/>
        <v>267.98736271676302</v>
      </c>
      <c r="I336" s="418">
        <v>25</v>
      </c>
      <c r="J336" s="419">
        <f t="shared" si="55"/>
        <v>267.98736271676302</v>
      </c>
      <c r="K336" s="420"/>
    </row>
    <row r="337" spans="1:12">
      <c r="A337" s="267" t="str">
        <f t="shared" si="51"/>
        <v>16.2 การค้นหาแฟ้มเวชระเบียน</v>
      </c>
      <c r="B337" s="340">
        <f>ตาราง3!F69</f>
        <v>1071.9494508670521</v>
      </c>
      <c r="C337" s="256">
        <v>25</v>
      </c>
      <c r="D337" s="417">
        <f t="shared" si="52"/>
        <v>267.98736271676302</v>
      </c>
      <c r="E337" s="256">
        <v>25</v>
      </c>
      <c r="F337" s="417">
        <f t="shared" si="53"/>
        <v>267.98736271676302</v>
      </c>
      <c r="G337" s="256">
        <v>25</v>
      </c>
      <c r="H337" s="417">
        <f t="shared" si="54"/>
        <v>267.98736271676302</v>
      </c>
      <c r="I337" s="418">
        <v>25</v>
      </c>
      <c r="J337" s="419">
        <f t="shared" si="55"/>
        <v>267.98736271676302</v>
      </c>
      <c r="K337" s="420"/>
    </row>
    <row r="338" spans="1:12">
      <c r="A338" s="267" t="str">
        <f t="shared" si="51"/>
        <v>16.3 งานข้อมูลและสถิติทางการแพทย์</v>
      </c>
      <c r="B338" s="340">
        <f>ตาราง3!F70</f>
        <v>918.81381502890179</v>
      </c>
      <c r="C338" s="256">
        <v>25</v>
      </c>
      <c r="D338" s="417">
        <f t="shared" si="52"/>
        <v>229.70345375722545</v>
      </c>
      <c r="E338" s="256">
        <v>25</v>
      </c>
      <c r="F338" s="417">
        <f t="shared" si="53"/>
        <v>229.70345375722545</v>
      </c>
      <c r="G338" s="256">
        <v>25</v>
      </c>
      <c r="H338" s="417">
        <f t="shared" si="54"/>
        <v>229.70345375722545</v>
      </c>
      <c r="I338" s="418">
        <v>25</v>
      </c>
      <c r="J338" s="419">
        <f t="shared" si="55"/>
        <v>229.70345375722545</v>
      </c>
      <c r="K338" s="420"/>
    </row>
    <row r="339" spans="1:12">
      <c r="A339" s="267" t="str">
        <f t="shared" si="51"/>
        <v>17.1.ด้านจัดการข้อมูล</v>
      </c>
      <c r="B339" s="340">
        <f>ตาราง3!F71</f>
        <v>1225.0850867052022</v>
      </c>
      <c r="C339" s="256">
        <v>25</v>
      </c>
      <c r="D339" s="417">
        <f t="shared" si="52"/>
        <v>306.27127167630056</v>
      </c>
      <c r="E339" s="256">
        <v>25</v>
      </c>
      <c r="F339" s="417">
        <f t="shared" si="53"/>
        <v>306.27127167630056</v>
      </c>
      <c r="G339" s="256">
        <v>25</v>
      </c>
      <c r="H339" s="417">
        <f t="shared" si="54"/>
        <v>306.27127167630056</v>
      </c>
      <c r="I339" s="418">
        <v>25</v>
      </c>
      <c r="J339" s="419">
        <f t="shared" si="55"/>
        <v>306.27127167630056</v>
      </c>
      <c r="K339" s="420"/>
    </row>
    <row r="340" spans="1:12">
      <c r="A340" s="267" t="str">
        <f t="shared" si="51"/>
        <v>18.1งานบำรุงรักษาเครื่องคอมพิวเตอร์ และระบบ HIS</v>
      </c>
      <c r="B340" s="340">
        <f>ตาราง3!F72</f>
        <v>918.81381502890179</v>
      </c>
      <c r="C340" s="256">
        <v>25</v>
      </c>
      <c r="D340" s="417">
        <f t="shared" si="52"/>
        <v>229.70345375722545</v>
      </c>
      <c r="E340" s="256">
        <v>25</v>
      </c>
      <c r="F340" s="417">
        <f t="shared" si="53"/>
        <v>229.70345375722545</v>
      </c>
      <c r="G340" s="256">
        <v>25</v>
      </c>
      <c r="H340" s="417">
        <f t="shared" si="54"/>
        <v>229.70345375722545</v>
      </c>
      <c r="I340" s="418">
        <v>25</v>
      </c>
      <c r="J340" s="419">
        <f t="shared" si="55"/>
        <v>229.70345375722545</v>
      </c>
      <c r="K340" s="420"/>
    </row>
    <row r="341" spans="1:12">
      <c r="A341" s="267" t="str">
        <f t="shared" si="51"/>
        <v>19.1บริการจัดห้องประชุม</v>
      </c>
      <c r="B341" s="340">
        <f>ตาราง3!F73</f>
        <v>918.81381502890179</v>
      </c>
      <c r="C341" s="256">
        <v>25</v>
      </c>
      <c r="D341" s="417">
        <f t="shared" si="52"/>
        <v>229.70345375722545</v>
      </c>
      <c r="E341" s="256">
        <v>25</v>
      </c>
      <c r="F341" s="417">
        <f t="shared" si="53"/>
        <v>229.70345375722545</v>
      </c>
      <c r="G341" s="256">
        <v>25</v>
      </c>
      <c r="H341" s="417">
        <f t="shared" si="54"/>
        <v>229.70345375722545</v>
      </c>
      <c r="I341" s="418">
        <v>25</v>
      </c>
      <c r="J341" s="419">
        <f t="shared" si="55"/>
        <v>229.70345375722545</v>
      </c>
      <c r="K341" s="420"/>
    </row>
    <row r="342" spans="1:12">
      <c r="A342" s="267" t="str">
        <f t="shared" si="51"/>
        <v>20.1การให้บริการตรวจพิเศษทางห้องปฏิบัติการ (HBV Viral Load)</v>
      </c>
      <c r="B342" s="340">
        <f>ตาราง3!F74</f>
        <v>1286.3393410404624</v>
      </c>
      <c r="C342" s="256">
        <v>25</v>
      </c>
      <c r="D342" s="417">
        <f t="shared" si="52"/>
        <v>321.5848352601156</v>
      </c>
      <c r="E342" s="256">
        <v>25</v>
      </c>
      <c r="F342" s="417">
        <f t="shared" si="53"/>
        <v>321.5848352601156</v>
      </c>
      <c r="G342" s="256">
        <v>25</v>
      </c>
      <c r="H342" s="417">
        <f t="shared" si="54"/>
        <v>321.5848352601156</v>
      </c>
      <c r="I342" s="418">
        <v>25</v>
      </c>
      <c r="J342" s="419">
        <f t="shared" si="55"/>
        <v>321.5848352601156</v>
      </c>
      <c r="K342" s="420"/>
    </row>
    <row r="343" spans="1:12">
      <c r="A343" s="267" t="str">
        <f t="shared" si="51"/>
        <v>20.20จัดทำรายงานความก้าวหน้าของโครงการวิจัยงบประมาณประจำปี 2566</v>
      </c>
      <c r="B343" s="340">
        <f>ตาราง3!F75</f>
        <v>551.28828901734107</v>
      </c>
      <c r="C343" s="256">
        <v>25</v>
      </c>
      <c r="D343" s="417">
        <f t="shared" si="52"/>
        <v>137.82207225433527</v>
      </c>
      <c r="E343" s="256">
        <v>25</v>
      </c>
      <c r="F343" s="417">
        <f t="shared" si="53"/>
        <v>137.82207225433527</v>
      </c>
      <c r="G343" s="256">
        <v>25</v>
      </c>
      <c r="H343" s="417">
        <f t="shared" si="54"/>
        <v>137.82207225433527</v>
      </c>
      <c r="I343" s="418">
        <v>25</v>
      </c>
      <c r="J343" s="419">
        <f t="shared" si="55"/>
        <v>137.82207225433527</v>
      </c>
      <c r="K343" s="420"/>
    </row>
    <row r="344" spans="1:12">
      <c r="A344" s="266" t="s">
        <v>535</v>
      </c>
      <c r="B344" s="340">
        <f>ตาราง3!F76</f>
        <v>1225.0850867052022</v>
      </c>
      <c r="C344" s="256">
        <v>25</v>
      </c>
      <c r="D344" s="417">
        <f t="shared" si="52"/>
        <v>306.27127167630056</v>
      </c>
      <c r="E344" s="256">
        <v>25</v>
      </c>
      <c r="F344" s="417">
        <f t="shared" si="53"/>
        <v>306.27127167630056</v>
      </c>
      <c r="G344" s="256">
        <v>25</v>
      </c>
      <c r="H344" s="417">
        <f t="shared" si="54"/>
        <v>306.27127167630056</v>
      </c>
      <c r="I344" s="418">
        <v>25</v>
      </c>
      <c r="J344" s="419">
        <f t="shared" si="55"/>
        <v>306.27127167630056</v>
      </c>
      <c r="K344" s="420"/>
    </row>
    <row r="345" spans="1:12">
      <c r="A345" s="432" t="s">
        <v>536</v>
      </c>
      <c r="B345" s="340">
        <f>ตาราง3!F77</f>
        <v>612.54254335260111</v>
      </c>
      <c r="C345" s="423">
        <v>25</v>
      </c>
      <c r="D345" s="417">
        <f t="shared" si="52"/>
        <v>153.13563583815028</v>
      </c>
      <c r="E345" s="423">
        <v>25</v>
      </c>
      <c r="F345" s="417">
        <f t="shared" si="53"/>
        <v>153.13563583815028</v>
      </c>
      <c r="G345" s="423">
        <v>25</v>
      </c>
      <c r="H345" s="417">
        <f t="shared" si="54"/>
        <v>153.13563583815028</v>
      </c>
      <c r="I345" s="425">
        <v>25</v>
      </c>
      <c r="J345" s="419">
        <f t="shared" si="55"/>
        <v>153.13563583815028</v>
      </c>
      <c r="K345" s="420"/>
    </row>
    <row r="346" spans="1:12" ht="24.75" thickBot="1">
      <c r="A346" s="400" t="s">
        <v>1</v>
      </c>
      <c r="B346" s="450">
        <f>SUM(B273:B345)</f>
        <v>105969.86000000003</v>
      </c>
      <c r="C346" s="450"/>
      <c r="D346" s="450">
        <f t="shared" ref="D346:J346" si="56">SUM(D273:D345)</f>
        <v>45086.806446011564</v>
      </c>
      <c r="E346" s="450"/>
      <c r="F346" s="450">
        <f t="shared" si="56"/>
        <v>42641.536612947973</v>
      </c>
      <c r="G346" s="450"/>
      <c r="H346" s="450">
        <f t="shared" si="56"/>
        <v>8747.1075190751435</v>
      </c>
      <c r="I346" s="450"/>
      <c r="J346" s="451">
        <f t="shared" si="56"/>
        <v>9494.4094219653161</v>
      </c>
      <c r="K346" s="268"/>
      <c r="L346" s="243">
        <f>D346+F346+H346+J346</f>
        <v>105969.86</v>
      </c>
    </row>
    <row r="347" spans="1:12" ht="24.75" thickTop="1">
      <c r="J347" s="439"/>
      <c r="K347" s="439"/>
    </row>
    <row r="348" spans="1:12">
      <c r="B348" s="273">
        <f>B77+B166+B256+B346</f>
        <v>460202140.63999999</v>
      </c>
      <c r="J348" s="439"/>
      <c r="K348" s="439"/>
      <c r="L348" s="273">
        <f>L77+L166+L256+L346</f>
        <v>460202140.6400001</v>
      </c>
    </row>
    <row r="349" spans="1:12">
      <c r="J349" s="439"/>
      <c r="K349" s="439"/>
      <c r="L349" s="273"/>
    </row>
    <row r="350" spans="1:12">
      <c r="J350" s="439"/>
      <c r="K350" s="439"/>
    </row>
    <row r="351" spans="1:12">
      <c r="J351" s="439"/>
      <c r="K351" s="439"/>
    </row>
    <row r="352" spans="1:12">
      <c r="J352" s="439"/>
      <c r="K352" s="439"/>
    </row>
    <row r="353" spans="10:11">
      <c r="J353" s="439"/>
      <c r="K353" s="439"/>
    </row>
    <row r="354" spans="10:11">
      <c r="J354" s="439"/>
      <c r="K354" s="439"/>
    </row>
    <row r="355" spans="10:11">
      <c r="J355" s="439"/>
      <c r="K355" s="439"/>
    </row>
    <row r="356" spans="10:11">
      <c r="J356" s="439"/>
      <c r="K356" s="439"/>
    </row>
    <row r="357" spans="10:11">
      <c r="J357" s="439"/>
      <c r="K357" s="439"/>
    </row>
    <row r="358" spans="10:11">
      <c r="J358" s="439"/>
      <c r="K358" s="439"/>
    </row>
    <row r="359" spans="10:11">
      <c r="J359" s="439"/>
      <c r="K359" s="439"/>
    </row>
    <row r="360" spans="10:11">
      <c r="J360" s="439"/>
      <c r="K360" s="439"/>
    </row>
    <row r="361" spans="10:11">
      <c r="J361" s="439"/>
      <c r="K361" s="439"/>
    </row>
    <row r="362" spans="10:11">
      <c r="J362" s="439"/>
      <c r="K362" s="439"/>
    </row>
    <row r="363" spans="10:11">
      <c r="J363" s="439"/>
      <c r="K363" s="439"/>
    </row>
    <row r="364" spans="10:11">
      <c r="J364" s="439"/>
      <c r="K364" s="439"/>
    </row>
    <row r="365" spans="10:11">
      <c r="J365" s="439"/>
      <c r="K365" s="439"/>
    </row>
    <row r="366" spans="10:11">
      <c r="J366" s="439"/>
      <c r="K366" s="439"/>
    </row>
    <row r="367" spans="10:11">
      <c r="J367" s="439"/>
      <c r="K367" s="439"/>
    </row>
    <row r="368" spans="10:11">
      <c r="J368" s="439"/>
      <c r="K368" s="439"/>
    </row>
    <row r="369" spans="10:11">
      <c r="J369" s="439"/>
      <c r="K369" s="439"/>
    </row>
    <row r="370" spans="10:11">
      <c r="J370" s="439"/>
      <c r="K370" s="439"/>
    </row>
    <row r="371" spans="10:11">
      <c r="J371" s="439"/>
      <c r="K371" s="439"/>
    </row>
    <row r="372" spans="10:11">
      <c r="J372" s="439"/>
      <c r="K372" s="439"/>
    </row>
    <row r="373" spans="10:11">
      <c r="J373" s="439"/>
      <c r="K373" s="439"/>
    </row>
    <row r="374" spans="10:11">
      <c r="J374" s="439"/>
      <c r="K374" s="439"/>
    </row>
    <row r="375" spans="10:11">
      <c r="J375" s="439"/>
      <c r="K375" s="439"/>
    </row>
    <row r="376" spans="10:11">
      <c r="J376" s="439"/>
      <c r="K376" s="439"/>
    </row>
    <row r="377" spans="10:11">
      <c r="J377" s="439"/>
      <c r="K377" s="439"/>
    </row>
    <row r="378" spans="10:11">
      <c r="J378" s="439"/>
      <c r="K378" s="439"/>
    </row>
    <row r="379" spans="10:11">
      <c r="J379" s="439"/>
      <c r="K379" s="439"/>
    </row>
    <row r="380" spans="10:11">
      <c r="J380" s="439"/>
      <c r="K380" s="439"/>
    </row>
    <row r="381" spans="10:11">
      <c r="J381" s="439"/>
      <c r="K381" s="439"/>
    </row>
    <row r="382" spans="10:11">
      <c r="J382" s="439"/>
      <c r="K382" s="439"/>
    </row>
    <row r="383" spans="10:11">
      <c r="J383" s="439"/>
      <c r="K383" s="439"/>
    </row>
    <row r="384" spans="10:11">
      <c r="J384" s="439"/>
      <c r="K384" s="439"/>
    </row>
    <row r="385" spans="10:11">
      <c r="J385" s="439"/>
      <c r="K385" s="439"/>
    </row>
    <row r="386" spans="10:11">
      <c r="J386" s="439"/>
      <c r="K386" s="439"/>
    </row>
    <row r="387" spans="10:11">
      <c r="J387" s="439"/>
      <c r="K387" s="439"/>
    </row>
    <row r="388" spans="10:11">
      <c r="J388" s="439"/>
      <c r="K388" s="439"/>
    </row>
    <row r="389" spans="10:11">
      <c r="J389" s="439"/>
      <c r="K389" s="439"/>
    </row>
    <row r="390" spans="10:11">
      <c r="J390" s="439"/>
      <c r="K390" s="439"/>
    </row>
    <row r="391" spans="10:11">
      <c r="J391" s="439"/>
      <c r="K391" s="439"/>
    </row>
  </sheetData>
  <pageMargins left="0.43" right="0.31496062992125984" top="0.53" bottom="0.42" header="0.28000000000000003" footer="0.26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4"/>
  <sheetViews>
    <sheetView workbookViewId="0">
      <selection activeCell="J4" sqref="J4"/>
    </sheetView>
  </sheetViews>
  <sheetFormatPr defaultRowHeight="24"/>
  <cols>
    <col min="1" max="1" width="2.140625" style="239" customWidth="1"/>
    <col min="2" max="2" width="47.28515625" style="239" customWidth="1"/>
    <col min="3" max="3" width="18" style="239" customWidth="1"/>
    <col min="4" max="4" width="21.140625" style="239" customWidth="1"/>
    <col min="5" max="5" width="17.140625" style="239" customWidth="1"/>
    <col min="6" max="6" width="16.5703125" style="239" customWidth="1"/>
    <col min="7" max="7" width="18.85546875" style="239" customWidth="1"/>
    <col min="8" max="8" width="10.42578125" style="239" customWidth="1"/>
    <col min="9" max="9" width="9" style="239" customWidth="1"/>
    <col min="10" max="10" width="21.28515625" style="239" bestFit="1" customWidth="1"/>
    <col min="11" max="16384" width="9.140625" style="239"/>
  </cols>
  <sheetData>
    <row r="1" spans="1:16">
      <c r="A1" s="962" t="s">
        <v>419</v>
      </c>
      <c r="B1" s="962"/>
      <c r="C1" s="962"/>
      <c r="D1" s="962"/>
      <c r="E1" s="962"/>
      <c r="F1" s="962"/>
      <c r="G1" s="962"/>
      <c r="H1" s="962"/>
      <c r="I1" s="962"/>
      <c r="J1" s="962"/>
    </row>
    <row r="2" spans="1:16">
      <c r="A2" s="390"/>
      <c r="B2" s="390"/>
      <c r="C2" s="390"/>
      <c r="D2" s="390"/>
      <c r="E2" s="390"/>
      <c r="F2" s="390"/>
      <c r="G2" s="390"/>
      <c r="H2" s="390"/>
      <c r="I2" s="390"/>
      <c r="J2" s="390"/>
    </row>
    <row r="3" spans="1:16">
      <c r="A3" s="963" t="s">
        <v>138</v>
      </c>
      <c r="B3" s="964"/>
      <c r="C3" s="391" t="s">
        <v>3</v>
      </c>
      <c r="D3" s="391" t="s">
        <v>2</v>
      </c>
      <c r="E3" s="391" t="s">
        <v>0</v>
      </c>
      <c r="F3" s="391" t="s">
        <v>303</v>
      </c>
      <c r="G3" s="391" t="s">
        <v>351</v>
      </c>
      <c r="H3" s="391" t="s">
        <v>228</v>
      </c>
      <c r="I3" s="391" t="s">
        <v>229</v>
      </c>
      <c r="J3" s="391" t="s">
        <v>352</v>
      </c>
    </row>
    <row r="4" spans="1:16">
      <c r="A4" s="309"/>
      <c r="B4" s="393" t="s">
        <v>234</v>
      </c>
      <c r="C4" s="471">
        <f>ตาราง4!B4+ตาราง4!B5</f>
        <v>128154665.28155375</v>
      </c>
      <c r="D4" s="471">
        <f>ตาราง4!C4+ตาราง4!C5</f>
        <v>244261135.8620764</v>
      </c>
      <c r="E4" s="471">
        <f>ตาราง4!D4+ตาราง4!D5</f>
        <v>9556328.5134346765</v>
      </c>
      <c r="F4" s="471">
        <f>ตาราง4!E4+ตาราง4!E5</f>
        <v>87728.343058959537</v>
      </c>
      <c r="G4" s="472">
        <f>SUM(C4:F4)</f>
        <v>382059858.00012374</v>
      </c>
      <c r="H4" s="473">
        <f>ตาราง4!G4+ตาราง4!G5</f>
        <v>69897</v>
      </c>
      <c r="I4" s="309" t="s">
        <v>232</v>
      </c>
      <c r="J4" s="472">
        <f>+G4/H4</f>
        <v>5466.0408601245226</v>
      </c>
      <c r="M4" s="398"/>
      <c r="N4" s="398"/>
    </row>
    <row r="5" spans="1:16">
      <c r="A5" s="256"/>
      <c r="B5" s="319" t="s">
        <v>237</v>
      </c>
      <c r="C5" s="311">
        <f>ตาราง4!B6</f>
        <v>12511180.734414453</v>
      </c>
      <c r="D5" s="311">
        <f>ตาราง4!C6</f>
        <v>26264555.044701159</v>
      </c>
      <c r="E5" s="311">
        <f>ตาราง4!D6</f>
        <v>952830.40896416211</v>
      </c>
      <c r="F5" s="311">
        <f>ตาราง4!E6</f>
        <v>8747.1075190751435</v>
      </c>
      <c r="G5" s="365">
        <f>SUM(C5:F5)</f>
        <v>39737313.29559885</v>
      </c>
      <c r="H5" s="255">
        <f>ตาราง4!G6</f>
        <v>4</v>
      </c>
      <c r="I5" s="256" t="s">
        <v>238</v>
      </c>
      <c r="J5" s="365">
        <f>+G5/H5</f>
        <v>9934328.3238997124</v>
      </c>
      <c r="M5" s="398"/>
      <c r="N5" s="398"/>
      <c r="O5" s="398"/>
      <c r="P5" s="398"/>
    </row>
    <row r="6" spans="1:16">
      <c r="A6" s="881"/>
      <c r="B6" s="880" t="s">
        <v>1488</v>
      </c>
      <c r="C6" s="311">
        <f>ตาราง4!B7</f>
        <v>11112613.304031795</v>
      </c>
      <c r="D6" s="311">
        <f>ตาราง4!C7</f>
        <v>26248626.943222545</v>
      </c>
      <c r="E6" s="311">
        <f>ตาราง4!D7</f>
        <v>1034234.6876011562</v>
      </c>
      <c r="F6" s="311">
        <f>ตาราง4!E7</f>
        <v>9494.4094219653161</v>
      </c>
      <c r="G6" s="365">
        <f>SUM(C6:F6)</f>
        <v>38404969.344277464</v>
      </c>
      <c r="H6" s="255">
        <f>ตาราง4!G7</f>
        <v>1</v>
      </c>
      <c r="I6" s="333" t="s">
        <v>241</v>
      </c>
      <c r="J6" s="365">
        <f>+G6/H6</f>
        <v>38404969.344277464</v>
      </c>
      <c r="M6" s="398"/>
      <c r="N6" s="398"/>
      <c r="O6" s="398"/>
      <c r="P6" s="398"/>
    </row>
    <row r="7" spans="1:16" ht="24.75" thickBot="1">
      <c r="A7" s="965" t="s">
        <v>30</v>
      </c>
      <c r="B7" s="966"/>
      <c r="C7" s="453">
        <f>SUM(C4:C6)</f>
        <v>151778459.31999999</v>
      </c>
      <c r="D7" s="453">
        <f t="shared" ref="D7:G7" si="0">SUM(D4:D6)</f>
        <v>296774317.85000008</v>
      </c>
      <c r="E7" s="453">
        <f t="shared" si="0"/>
        <v>11543393.609999996</v>
      </c>
      <c r="F7" s="453">
        <f t="shared" si="0"/>
        <v>105969.86</v>
      </c>
      <c r="G7" s="453">
        <f t="shared" si="0"/>
        <v>460202140.64000005</v>
      </c>
      <c r="H7" s="476"/>
      <c r="I7" s="477"/>
      <c r="J7" s="453">
        <f>SUM(J4:J6)</f>
        <v>48344763.709037304</v>
      </c>
      <c r="M7" s="243"/>
    </row>
    <row r="8" spans="1:16" ht="24.75" thickTop="1">
      <c r="A8" s="238"/>
      <c r="B8" s="238"/>
      <c r="C8" s="383"/>
      <c r="D8" s="383"/>
      <c r="E8" s="383"/>
      <c r="F8" s="383">
        <f>SUM(E7:F7)</f>
        <v>11649363.469999995</v>
      </c>
      <c r="G8" s="478"/>
      <c r="H8" s="478"/>
      <c r="I8" s="264"/>
      <c r="J8" s="478"/>
      <c r="M8" s="243"/>
    </row>
    <row r="9" spans="1:16">
      <c r="A9" s="238"/>
      <c r="B9" s="238"/>
      <c r="C9" s="383"/>
      <c r="D9" s="383"/>
      <c r="E9" s="383"/>
      <c r="F9" s="383"/>
      <c r="G9" s="383"/>
      <c r="H9" s="478"/>
      <c r="I9" s="264"/>
      <c r="J9" s="478"/>
      <c r="M9" s="243"/>
    </row>
    <row r="10" spans="1:16">
      <c r="M10" s="243"/>
    </row>
    <row r="12" spans="1:16">
      <c r="C12" s="240"/>
      <c r="D12" s="240"/>
      <c r="E12" s="240"/>
      <c r="F12" s="240"/>
    </row>
    <row r="13" spans="1:16">
      <c r="C13" s="240"/>
      <c r="D13" s="240"/>
      <c r="E13" s="240"/>
      <c r="F13" s="240"/>
    </row>
    <row r="14" spans="1:16">
      <c r="C14" s="273"/>
      <c r="D14" s="240"/>
      <c r="E14" s="240"/>
      <c r="F14" s="240"/>
    </row>
    <row r="35" spans="1:10">
      <c r="A35" s="960"/>
      <c r="B35" s="960"/>
      <c r="C35" s="960"/>
      <c r="D35" s="960"/>
      <c r="E35" s="960"/>
      <c r="F35" s="960"/>
      <c r="G35" s="960"/>
      <c r="H35" s="960"/>
      <c r="I35" s="960"/>
      <c r="J35" s="960"/>
    </row>
    <row r="36" spans="1:10">
      <c r="A36" s="390"/>
      <c r="B36" s="390"/>
      <c r="C36" s="390"/>
      <c r="D36" s="390"/>
      <c r="E36" s="390"/>
      <c r="F36" s="390"/>
      <c r="G36" s="390"/>
      <c r="H36" s="390"/>
      <c r="I36" s="390"/>
      <c r="J36" s="390"/>
    </row>
    <row r="37" spans="1:10">
      <c r="A37" s="960"/>
      <c r="B37" s="960"/>
      <c r="C37" s="238"/>
      <c r="D37" s="238"/>
      <c r="E37" s="238"/>
      <c r="F37" s="238"/>
      <c r="G37" s="238"/>
      <c r="H37" s="238"/>
      <c r="I37" s="238"/>
      <c r="J37" s="238"/>
    </row>
    <row r="38" spans="1:10">
      <c r="A38" s="390"/>
      <c r="C38" s="282"/>
      <c r="D38" s="282"/>
      <c r="E38" s="282"/>
      <c r="F38" s="282"/>
      <c r="G38" s="282"/>
      <c r="H38" s="390"/>
      <c r="I38" s="390"/>
      <c r="J38" s="282"/>
    </row>
    <row r="39" spans="1:10">
      <c r="A39" s="390"/>
      <c r="C39" s="282"/>
      <c r="D39" s="282"/>
      <c r="E39" s="282"/>
      <c r="F39" s="282"/>
      <c r="G39" s="282"/>
      <c r="H39" s="404"/>
      <c r="I39" s="390"/>
      <c r="J39" s="282"/>
    </row>
    <row r="40" spans="1:10">
      <c r="A40" s="390"/>
      <c r="C40" s="282"/>
      <c r="D40" s="282"/>
      <c r="E40" s="282"/>
      <c r="F40" s="282"/>
      <c r="G40" s="282"/>
      <c r="H40" s="390"/>
      <c r="I40" s="390"/>
      <c r="J40" s="282"/>
    </row>
    <row r="41" spans="1:10">
      <c r="A41" s="390"/>
      <c r="C41" s="282"/>
      <c r="D41" s="282"/>
      <c r="E41" s="282"/>
      <c r="F41" s="282"/>
      <c r="G41" s="282"/>
      <c r="H41" s="404"/>
      <c r="I41" s="390"/>
      <c r="J41" s="282"/>
    </row>
    <row r="42" spans="1:10">
      <c r="A42" s="390"/>
    </row>
    <row r="43" spans="1:10">
      <c r="A43" s="479"/>
      <c r="B43" s="480"/>
    </row>
    <row r="44" spans="1:10">
      <c r="A44" s="390"/>
    </row>
    <row r="45" spans="1:10">
      <c r="A45" s="960"/>
      <c r="B45" s="960"/>
      <c r="C45" s="383"/>
      <c r="D45" s="383"/>
      <c r="E45" s="383"/>
      <c r="F45" s="383"/>
      <c r="G45" s="383"/>
      <c r="H45" s="478"/>
      <c r="I45" s="264"/>
      <c r="J45" s="478"/>
    </row>
    <row r="48" spans="1:10">
      <c r="C48" s="282"/>
      <c r="D48" s="282"/>
      <c r="E48" s="282"/>
      <c r="F48" s="282"/>
      <c r="G48" s="282"/>
    </row>
    <row r="49" spans="3:6">
      <c r="C49" s="282"/>
      <c r="D49" s="282"/>
      <c r="E49" s="282"/>
      <c r="F49" s="282"/>
    </row>
    <row r="50" spans="3:6">
      <c r="C50" s="273"/>
      <c r="D50" s="273"/>
      <c r="E50" s="273"/>
      <c r="F50" s="273"/>
    </row>
    <row r="52" spans="3:6">
      <c r="C52" s="282"/>
    </row>
    <row r="53" spans="3:6">
      <c r="C53" s="282"/>
    </row>
    <row r="54" spans="3:6">
      <c r="C54" s="273"/>
    </row>
  </sheetData>
  <mergeCells count="6">
    <mergeCell ref="A45:B45"/>
    <mergeCell ref="A37:B37"/>
    <mergeCell ref="A1:J1"/>
    <mergeCell ref="A3:B3"/>
    <mergeCell ref="A7:B7"/>
    <mergeCell ref="A35:J3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43"/>
  <sheetViews>
    <sheetView workbookViewId="0">
      <selection activeCell="I5" sqref="I5"/>
    </sheetView>
  </sheetViews>
  <sheetFormatPr defaultRowHeight="24"/>
  <cols>
    <col min="1" max="1" width="32.7109375" style="239" customWidth="1"/>
    <col min="2" max="2" width="18.5703125" style="239" customWidth="1"/>
    <col min="3" max="3" width="19.28515625" style="239" customWidth="1"/>
    <col min="4" max="4" width="16.85546875" style="239" customWidth="1"/>
    <col min="5" max="5" width="17" style="239" customWidth="1"/>
    <col min="6" max="6" width="18.85546875" style="239" customWidth="1"/>
    <col min="7" max="7" width="9.28515625" style="239" customWidth="1"/>
    <col min="8" max="8" width="8.5703125" style="390" bestFit="1" customWidth="1"/>
    <col min="9" max="9" width="17.28515625" style="239" customWidth="1"/>
    <col min="10" max="16384" width="9.140625" style="239"/>
  </cols>
  <sheetData>
    <row r="1" spans="1:16" ht="30.75">
      <c r="A1" s="967" t="s">
        <v>420</v>
      </c>
      <c r="B1" s="967"/>
      <c r="C1" s="967"/>
      <c r="D1" s="967"/>
      <c r="E1" s="967"/>
      <c r="F1" s="967"/>
      <c r="G1" s="967"/>
      <c r="H1" s="967"/>
      <c r="I1" s="967"/>
      <c r="J1" s="481"/>
    </row>
    <row r="3" spans="1:16" s="264" customFormat="1">
      <c r="A3" s="391" t="s">
        <v>231</v>
      </c>
      <c r="B3" s="391" t="s">
        <v>3</v>
      </c>
      <c r="C3" s="391" t="s">
        <v>2</v>
      </c>
      <c r="D3" s="391" t="s">
        <v>0</v>
      </c>
      <c r="E3" s="391" t="s">
        <v>303</v>
      </c>
      <c r="F3" s="391" t="s">
        <v>351</v>
      </c>
      <c r="G3" s="391" t="s">
        <v>228</v>
      </c>
      <c r="H3" s="391" t="s">
        <v>229</v>
      </c>
      <c r="I3" s="391" t="s">
        <v>352</v>
      </c>
      <c r="J3" s="238"/>
    </row>
    <row r="4" spans="1:16">
      <c r="A4" s="250"/>
      <c r="B4" s="471"/>
      <c r="C4" s="471"/>
      <c r="D4" s="471"/>
      <c r="E4" s="471"/>
      <c r="F4" s="482"/>
      <c r="G4" s="309"/>
      <c r="H4" s="309"/>
      <c r="I4" s="471"/>
      <c r="J4" s="282"/>
      <c r="L4" s="398"/>
      <c r="N4" s="398"/>
    </row>
    <row r="5" spans="1:16">
      <c r="A5" s="483" t="s">
        <v>235</v>
      </c>
      <c r="B5" s="399">
        <f>ตาราง5!C4+ตาราง5!C5</f>
        <v>140665846.0159682</v>
      </c>
      <c r="C5" s="399">
        <f>ตาราง5!D4+ตาราง5!D5</f>
        <v>270525690.90677756</v>
      </c>
      <c r="D5" s="399">
        <f>ตาราง5!E4+ตาราง5!E5</f>
        <v>10509158.922398839</v>
      </c>
      <c r="E5" s="399">
        <f>ตาราง5!F4+ตาราง5!F5</f>
        <v>96475.450578034681</v>
      </c>
      <c r="F5" s="254">
        <f>SUM(B5:E5)</f>
        <v>421797171.29572266</v>
      </c>
      <c r="G5" s="484">
        <f>ตาราง5!H4</f>
        <v>69897</v>
      </c>
      <c r="H5" s="256" t="s">
        <v>232</v>
      </c>
      <c r="I5" s="311">
        <f>+F5/G5</f>
        <v>6034.5532897795711</v>
      </c>
      <c r="J5" s="282"/>
      <c r="L5" s="398"/>
      <c r="N5" s="398"/>
      <c r="P5" s="398"/>
    </row>
    <row r="6" spans="1:16">
      <c r="A6" s="319" t="s">
        <v>239</v>
      </c>
      <c r="B6" s="311"/>
      <c r="C6" s="311"/>
      <c r="D6" s="311"/>
      <c r="E6" s="311"/>
      <c r="F6" s="254">
        <f>SUM(B6:E6)</f>
        <v>0</v>
      </c>
      <c r="G6" s="485"/>
      <c r="H6" s="256"/>
      <c r="I6" s="311"/>
      <c r="J6" s="282"/>
      <c r="L6" s="398"/>
      <c r="P6" s="398"/>
    </row>
    <row r="7" spans="1:16">
      <c r="A7" s="319" t="s">
        <v>242</v>
      </c>
      <c r="B7" s="486"/>
      <c r="C7" s="486"/>
      <c r="D7" s="486"/>
      <c r="E7" s="486"/>
      <c r="F7" s="254">
        <f>SUM(B7:E7)</f>
        <v>0</v>
      </c>
      <c r="G7" s="487"/>
      <c r="H7" s="256"/>
      <c r="I7" s="311"/>
      <c r="J7" s="282"/>
      <c r="L7" s="398"/>
      <c r="N7" s="398"/>
      <c r="P7" s="398"/>
    </row>
    <row r="8" spans="1:16">
      <c r="A8" s="319"/>
      <c r="B8" s="399"/>
      <c r="C8" s="399"/>
      <c r="D8" s="399"/>
      <c r="E8" s="399"/>
      <c r="F8" s="254">
        <f>SUM(B8:E8)</f>
        <v>0</v>
      </c>
      <c r="G8" s="485"/>
      <c r="H8" s="256"/>
      <c r="I8" s="311"/>
      <c r="J8" s="282"/>
      <c r="L8" s="398"/>
      <c r="P8" s="398"/>
    </row>
    <row r="9" spans="1:16">
      <c r="A9" s="319" t="s">
        <v>243</v>
      </c>
      <c r="B9" s="254">
        <f>ตาราง5!C6</f>
        <v>11112613.304031795</v>
      </c>
      <c r="C9" s="254">
        <f>ตาราง5!D6</f>
        <v>26248626.943222545</v>
      </c>
      <c r="D9" s="254">
        <f>ตาราง5!E6</f>
        <v>1034234.6876011562</v>
      </c>
      <c r="E9" s="254">
        <f>ตาราง5!F6</f>
        <v>9494.4094219653161</v>
      </c>
      <c r="F9" s="254">
        <f>SUM(B9:E9)</f>
        <v>38404969.344277464</v>
      </c>
      <c r="G9" s="488">
        <f>ตาราง5!H5</f>
        <v>4</v>
      </c>
      <c r="H9" s="256" t="s">
        <v>238</v>
      </c>
      <c r="I9" s="311">
        <f>+F9/G9</f>
        <v>9601242.336069366</v>
      </c>
    </row>
    <row r="10" spans="1:16">
      <c r="A10" s="474" t="s">
        <v>244</v>
      </c>
      <c r="B10" s="489"/>
      <c r="C10" s="489"/>
      <c r="D10" s="489"/>
      <c r="E10" s="489"/>
      <c r="F10" s="489"/>
      <c r="G10" s="432"/>
      <c r="H10" s="423"/>
      <c r="I10" s="475"/>
    </row>
    <row r="11" spans="1:16" s="264" customFormat="1" ht="24.75" thickBot="1">
      <c r="A11" s="490" t="s">
        <v>1</v>
      </c>
      <c r="B11" s="491">
        <f>SUM(B5:B9)</f>
        <v>151778459.31999999</v>
      </c>
      <c r="C11" s="491">
        <f>SUM(C5:C9)</f>
        <v>296774317.85000008</v>
      </c>
      <c r="D11" s="491">
        <f>SUM(D5:D9)</f>
        <v>11543393.609999996</v>
      </c>
      <c r="E11" s="491">
        <f>SUM(E5:E9)</f>
        <v>105969.86</v>
      </c>
      <c r="F11" s="491">
        <f>SUM(F5:F9)</f>
        <v>460202140.6400001</v>
      </c>
      <c r="G11" s="368"/>
      <c r="H11" s="337"/>
      <c r="I11" s="491">
        <f>SUM(I5:I10)</f>
        <v>9607276.8893591464</v>
      </c>
    </row>
    <row r="12" spans="1:16" ht="24.75" thickTop="1">
      <c r="B12" s="243"/>
      <c r="C12" s="243"/>
      <c r="D12" s="243"/>
      <c r="E12" s="243">
        <f>SUM(D11:E11)</f>
        <v>11649363.469999995</v>
      </c>
      <c r="F12" s="243"/>
    </row>
    <row r="13" spans="1:16">
      <c r="B13" s="243"/>
      <c r="C13" s="243"/>
      <c r="D13" s="243"/>
      <c r="E13" s="243"/>
      <c r="F13" s="243"/>
    </row>
    <row r="14" spans="1:16">
      <c r="B14" s="243"/>
      <c r="C14" s="243"/>
      <c r="D14" s="243"/>
      <c r="E14" s="243"/>
      <c r="F14" s="243"/>
    </row>
    <row r="15" spans="1:16">
      <c r="B15" s="243"/>
      <c r="C15" s="243"/>
      <c r="D15" s="243"/>
      <c r="E15" s="243"/>
      <c r="F15" s="243"/>
    </row>
    <row r="16" spans="1:16">
      <c r="B16" s="243"/>
      <c r="C16" s="243"/>
      <c r="D16" s="243"/>
      <c r="E16" s="243"/>
      <c r="F16" s="243"/>
    </row>
    <row r="17" spans="2:6">
      <c r="B17" s="243"/>
      <c r="C17" s="243"/>
      <c r="D17" s="243"/>
      <c r="E17" s="243"/>
      <c r="F17" s="243"/>
    </row>
    <row r="18" spans="2:6">
      <c r="B18" s="243"/>
      <c r="C18" s="243"/>
      <c r="D18" s="243"/>
      <c r="E18" s="243"/>
      <c r="F18" s="243"/>
    </row>
    <row r="19" spans="2:6">
      <c r="B19" s="243"/>
      <c r="C19" s="243"/>
      <c r="D19" s="243"/>
      <c r="E19" s="243"/>
      <c r="F19" s="243"/>
    </row>
    <row r="20" spans="2:6">
      <c r="B20" s="243"/>
      <c r="C20" s="243"/>
      <c r="D20" s="243"/>
      <c r="E20" s="243"/>
      <c r="F20" s="243"/>
    </row>
    <row r="21" spans="2:6">
      <c r="B21" s="243"/>
      <c r="C21" s="243"/>
      <c r="D21" s="243"/>
      <c r="E21" s="243"/>
      <c r="F21" s="243"/>
    </row>
    <row r="22" spans="2:6">
      <c r="B22" s="243"/>
      <c r="C22" s="243"/>
      <c r="D22" s="243"/>
      <c r="E22" s="243"/>
      <c r="F22" s="243"/>
    </row>
    <row r="23" spans="2:6">
      <c r="B23" s="243"/>
      <c r="C23" s="243"/>
      <c r="D23" s="243"/>
      <c r="E23" s="243"/>
      <c r="F23" s="243"/>
    </row>
    <row r="24" spans="2:6">
      <c r="B24" s="243"/>
      <c r="C24" s="243"/>
      <c r="D24" s="243"/>
      <c r="E24" s="243"/>
      <c r="F24" s="243"/>
    </row>
    <row r="25" spans="2:6">
      <c r="B25" s="243"/>
      <c r="C25" s="243"/>
      <c r="D25" s="243"/>
      <c r="E25" s="243"/>
      <c r="F25" s="243"/>
    </row>
    <row r="26" spans="2:6">
      <c r="B26" s="243"/>
      <c r="C26" s="243"/>
      <c r="D26" s="243"/>
      <c r="E26" s="243"/>
      <c r="F26" s="243"/>
    </row>
    <row r="27" spans="2:6">
      <c r="B27" s="243"/>
      <c r="C27" s="243"/>
      <c r="D27" s="243"/>
      <c r="E27" s="243"/>
      <c r="F27" s="243"/>
    </row>
    <row r="28" spans="2:6">
      <c r="B28" s="243"/>
      <c r="C28" s="243"/>
      <c r="D28" s="243"/>
      <c r="E28" s="243"/>
      <c r="F28" s="243"/>
    </row>
    <row r="29" spans="2:6">
      <c r="B29" s="243"/>
      <c r="C29" s="243"/>
      <c r="D29" s="243"/>
      <c r="E29" s="243"/>
      <c r="F29" s="243"/>
    </row>
    <row r="30" spans="2:6">
      <c r="B30" s="243"/>
      <c r="C30" s="243"/>
      <c r="D30" s="243"/>
      <c r="E30" s="243"/>
      <c r="F30" s="243"/>
    </row>
    <row r="32" spans="2:6">
      <c r="B32" s="282"/>
      <c r="C32" s="282"/>
      <c r="D32" s="282"/>
      <c r="E32" s="282"/>
    </row>
    <row r="33" spans="1:6">
      <c r="B33" s="273"/>
      <c r="C33" s="273"/>
      <c r="D33" s="273"/>
      <c r="E33" s="273"/>
    </row>
    <row r="34" spans="1:6">
      <c r="B34" s="240"/>
      <c r="C34" s="240"/>
      <c r="D34" s="240"/>
      <c r="E34" s="240"/>
      <c r="F34" s="240"/>
    </row>
    <row r="35" spans="1:6">
      <c r="B35" s="240"/>
      <c r="C35" s="240"/>
      <c r="D35" s="240"/>
      <c r="E35" s="240"/>
      <c r="F35" s="240"/>
    </row>
    <row r="36" spans="1:6">
      <c r="B36" s="273"/>
      <c r="C36" s="273"/>
      <c r="D36" s="273"/>
      <c r="E36" s="273"/>
      <c r="F36" s="240"/>
    </row>
    <row r="37" spans="1:6">
      <c r="B37" s="243"/>
      <c r="C37" s="243"/>
      <c r="D37" s="243"/>
      <c r="E37" s="243"/>
      <c r="F37" s="240"/>
    </row>
    <row r="38" spans="1:6">
      <c r="B38" s="243"/>
      <c r="C38" s="243"/>
      <c r="D38" s="243"/>
      <c r="E38" s="243"/>
      <c r="F38" s="240"/>
    </row>
    <row r="41" spans="1:6">
      <c r="A41" s="398"/>
    </row>
    <row r="42" spans="1:6">
      <c r="A42" s="398"/>
    </row>
    <row r="43" spans="1:6">
      <c r="A43" s="398"/>
    </row>
  </sheetData>
  <mergeCells count="1">
    <mergeCell ref="A1:I1"/>
  </mergeCells>
  <pageMargins left="0.70866141732283505" right="0.70866141732283505" top="0.74803149606299202" bottom="0.74803149606299202" header="0.31496062992126" footer="0.31496062992126"/>
  <pageSetup paperSize="9"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96"/>
  <sheetViews>
    <sheetView topLeftCell="A67" workbookViewId="0">
      <selection activeCell="M83" sqref="M83"/>
    </sheetView>
  </sheetViews>
  <sheetFormatPr defaultRowHeight="21.75"/>
  <cols>
    <col min="1" max="1" width="58.42578125" style="493" customWidth="1"/>
    <col min="2" max="2" width="16.42578125" style="500" customWidth="1"/>
    <col min="3" max="3" width="16.140625" style="500" customWidth="1"/>
    <col min="4" max="4" width="14.85546875" style="500" customWidth="1"/>
    <col min="5" max="5" width="12.7109375" style="500" customWidth="1"/>
    <col min="6" max="6" width="15.140625" style="559" customWidth="1"/>
    <col min="7" max="7" width="8.5703125" style="560" customWidth="1"/>
    <col min="8" max="8" width="9" style="561" customWidth="1"/>
    <col min="9" max="9" width="14" style="559" customWidth="1"/>
    <col min="10" max="10" width="15.85546875" style="500" customWidth="1"/>
    <col min="11" max="11" width="15.5703125" style="500" customWidth="1"/>
    <col min="12" max="12" width="14.85546875" style="500" customWidth="1"/>
    <col min="13" max="13" width="12.85546875" style="500" customWidth="1"/>
    <col min="14" max="14" width="16" style="500" customWidth="1"/>
    <col min="15" max="15" width="8" style="501" customWidth="1"/>
    <col min="16" max="16" width="7.28515625" style="500" customWidth="1"/>
    <col min="17" max="17" width="13.7109375" style="502" customWidth="1"/>
    <col min="18" max="18" width="12.5703125" style="562" customWidth="1"/>
    <col min="19" max="19" width="11.28515625" style="562" customWidth="1"/>
    <col min="20" max="20" width="11.140625" style="562" customWidth="1"/>
    <col min="21" max="16384" width="9.140625" style="493"/>
  </cols>
  <sheetData>
    <row r="1" spans="1:23" ht="30.75">
      <c r="A1" s="977" t="s">
        <v>1549</v>
      </c>
      <c r="B1" s="977"/>
      <c r="C1" s="977"/>
      <c r="D1" s="977"/>
      <c r="E1" s="977"/>
      <c r="F1" s="977"/>
      <c r="G1" s="977"/>
      <c r="H1" s="977"/>
      <c r="I1" s="977"/>
      <c r="J1" s="977"/>
      <c r="K1" s="977"/>
      <c r="L1" s="977"/>
      <c r="M1" s="977"/>
      <c r="N1" s="977"/>
      <c r="O1" s="977"/>
      <c r="P1" s="977"/>
      <c r="Q1" s="977"/>
      <c r="R1" s="977"/>
      <c r="S1" s="977"/>
      <c r="T1" s="977"/>
    </row>
    <row r="2" spans="1:23" ht="30.75">
      <c r="A2" s="494" t="s">
        <v>421</v>
      </c>
      <c r="B2" s="495"/>
      <c r="C2" s="496"/>
      <c r="D2" s="496"/>
      <c r="E2" s="496"/>
      <c r="F2" s="497"/>
      <c r="G2" s="498"/>
      <c r="H2" s="499"/>
      <c r="I2" s="497"/>
      <c r="R2" s="503"/>
      <c r="S2" s="503"/>
      <c r="T2" s="503"/>
    </row>
    <row r="3" spans="1:23">
      <c r="B3" s="984" t="s">
        <v>1550</v>
      </c>
      <c r="C3" s="985"/>
      <c r="D3" s="985"/>
      <c r="E3" s="985"/>
      <c r="F3" s="985"/>
      <c r="G3" s="985"/>
      <c r="H3" s="985"/>
      <c r="I3" s="986"/>
      <c r="J3" s="974" t="s">
        <v>1551</v>
      </c>
      <c r="K3" s="975"/>
      <c r="L3" s="975"/>
      <c r="M3" s="975"/>
      <c r="N3" s="975"/>
      <c r="O3" s="975"/>
      <c r="P3" s="975"/>
      <c r="Q3" s="976"/>
      <c r="R3" s="968" t="s">
        <v>422</v>
      </c>
      <c r="S3" s="968"/>
      <c r="T3" s="968"/>
    </row>
    <row r="4" spans="1:23">
      <c r="A4" s="981" t="s">
        <v>227</v>
      </c>
      <c r="B4" s="969" t="s">
        <v>3</v>
      </c>
      <c r="C4" s="969" t="s">
        <v>2</v>
      </c>
      <c r="D4" s="969" t="s">
        <v>0</v>
      </c>
      <c r="E4" s="969" t="s">
        <v>303</v>
      </c>
      <c r="F4" s="969" t="s">
        <v>351</v>
      </c>
      <c r="G4" s="987" t="s">
        <v>228</v>
      </c>
      <c r="H4" s="969" t="s">
        <v>229</v>
      </c>
      <c r="I4" s="969" t="s">
        <v>352</v>
      </c>
      <c r="J4" s="971" t="s">
        <v>3</v>
      </c>
      <c r="K4" s="971" t="s">
        <v>2</v>
      </c>
      <c r="L4" s="971" t="s">
        <v>0</v>
      </c>
      <c r="M4" s="971" t="s">
        <v>303</v>
      </c>
      <c r="N4" s="971" t="s">
        <v>351</v>
      </c>
      <c r="O4" s="978" t="s">
        <v>228</v>
      </c>
      <c r="P4" s="971" t="s">
        <v>229</v>
      </c>
      <c r="Q4" s="971" t="s">
        <v>423</v>
      </c>
      <c r="R4" s="504" t="s">
        <v>424</v>
      </c>
      <c r="S4" s="504" t="s">
        <v>229</v>
      </c>
      <c r="T4" s="504"/>
    </row>
    <row r="5" spans="1:23">
      <c r="A5" s="982"/>
      <c r="B5" s="970"/>
      <c r="C5" s="970"/>
      <c r="D5" s="970"/>
      <c r="E5" s="970"/>
      <c r="F5" s="969"/>
      <c r="G5" s="988"/>
      <c r="H5" s="970"/>
      <c r="I5" s="969"/>
      <c r="J5" s="972"/>
      <c r="K5" s="972"/>
      <c r="L5" s="972"/>
      <c r="M5" s="972"/>
      <c r="N5" s="972"/>
      <c r="O5" s="979"/>
      <c r="P5" s="972"/>
      <c r="Q5" s="972"/>
      <c r="R5" s="505" t="s">
        <v>426</v>
      </c>
      <c r="S5" s="505" t="s">
        <v>427</v>
      </c>
      <c r="T5" s="505" t="s">
        <v>428</v>
      </c>
    </row>
    <row r="6" spans="1:23">
      <c r="A6" s="983"/>
      <c r="B6" s="970"/>
      <c r="C6" s="970"/>
      <c r="D6" s="970"/>
      <c r="E6" s="970"/>
      <c r="F6" s="969"/>
      <c r="G6" s="988"/>
      <c r="H6" s="970"/>
      <c r="I6" s="969"/>
      <c r="J6" s="973"/>
      <c r="K6" s="973"/>
      <c r="L6" s="973"/>
      <c r="M6" s="973"/>
      <c r="N6" s="973"/>
      <c r="O6" s="980"/>
      <c r="P6" s="973"/>
      <c r="Q6" s="973"/>
      <c r="R6" s="506" t="s">
        <v>429</v>
      </c>
      <c r="S6" s="506" t="s">
        <v>429</v>
      </c>
      <c r="T6" s="506" t="s">
        <v>430</v>
      </c>
      <c r="U6" s="507"/>
      <c r="V6" s="507"/>
      <c r="W6" s="507"/>
    </row>
    <row r="7" spans="1:23">
      <c r="A7" s="508" t="s">
        <v>353</v>
      </c>
      <c r="B7" s="509"/>
      <c r="C7" s="510"/>
      <c r="D7" s="510"/>
      <c r="E7" s="510"/>
      <c r="F7" s="511"/>
      <c r="G7" s="512"/>
      <c r="H7" s="513"/>
      <c r="I7" s="511"/>
      <c r="J7" s="514"/>
      <c r="K7" s="515"/>
      <c r="L7" s="515"/>
      <c r="M7" s="515"/>
      <c r="N7" s="516"/>
      <c r="O7" s="517"/>
      <c r="P7" s="515"/>
      <c r="Q7" s="518"/>
      <c r="R7" s="519"/>
      <c r="S7" s="519"/>
      <c r="T7" s="519"/>
      <c r="U7" s="507"/>
      <c r="V7" s="507"/>
      <c r="W7" s="507"/>
    </row>
    <row r="8" spans="1:23">
      <c r="A8" s="520" t="s">
        <v>354</v>
      </c>
      <c r="B8" s="521">
        <v>1355074.18</v>
      </c>
      <c r="C8" s="521">
        <v>809530.2</v>
      </c>
      <c r="D8" s="521">
        <v>36671.43</v>
      </c>
      <c r="E8" s="521">
        <v>306.27</v>
      </c>
      <c r="F8" s="521">
        <f>SUM(B8:E8)</f>
        <v>2201582.08</v>
      </c>
      <c r="G8" s="522">
        <v>3908</v>
      </c>
      <c r="H8" s="523" t="s">
        <v>232</v>
      </c>
      <c r="I8" s="524">
        <f>F8/G8</f>
        <v>563.35263050153537</v>
      </c>
      <c r="J8" s="525">
        <f>ตาราง3!C5</f>
        <v>1489738.6626300577</v>
      </c>
      <c r="K8" s="525">
        <f>ตาราง3!D5</f>
        <v>1034347.6884104047</v>
      </c>
      <c r="L8" s="525">
        <f>ตาราง3!E5</f>
        <v>33362.409277456645</v>
      </c>
      <c r="M8" s="525">
        <f>ตาราง3!F5</f>
        <v>306.27127167630056</v>
      </c>
      <c r="N8" s="525">
        <f>SUM(J8:M8)</f>
        <v>2557755.0315895956</v>
      </c>
      <c r="O8" s="526">
        <f>'1.1'!C3</f>
        <v>2601</v>
      </c>
      <c r="P8" s="523" t="s">
        <v>232</v>
      </c>
      <c r="Q8" s="527">
        <f>N8/O8</f>
        <v>983.37371456731853</v>
      </c>
      <c r="R8" s="528">
        <f>+(N8-F8)/F8*100</f>
        <v>16.178045543938815</v>
      </c>
      <c r="S8" s="528">
        <f>+(O8-G8)/G8*100</f>
        <v>-33.444216990788128</v>
      </c>
      <c r="T8" s="528">
        <f>+(Q8-I8)/I8*100</f>
        <v>74.557401763057612</v>
      </c>
      <c r="U8" s="507"/>
      <c r="V8" s="507"/>
      <c r="W8" s="507"/>
    </row>
    <row r="9" spans="1:23">
      <c r="A9" s="520" t="s">
        <v>365</v>
      </c>
      <c r="B9" s="521">
        <v>1770955.7</v>
      </c>
      <c r="C9" s="529">
        <v>1586644.29</v>
      </c>
      <c r="D9" s="529">
        <v>73342.86</v>
      </c>
      <c r="E9" s="529">
        <v>612.54</v>
      </c>
      <c r="F9" s="521">
        <f t="shared" ref="F9:F13" si="0">SUM(B9:E9)</f>
        <v>3431555.39</v>
      </c>
      <c r="G9" s="522">
        <v>1066</v>
      </c>
      <c r="H9" s="523" t="s">
        <v>232</v>
      </c>
      <c r="I9" s="524">
        <f t="shared" ref="I9:I14" si="1">F9/G9</f>
        <v>3219.0951125703564</v>
      </c>
      <c r="J9" s="525">
        <f>ตาราง3!C6</f>
        <v>2093604.9678901734</v>
      </c>
      <c r="K9" s="525">
        <f>ตาราง3!D6</f>
        <v>3019430.3452312145</v>
      </c>
      <c r="L9" s="525">
        <f>ตาราง3!E6</f>
        <v>100087.22783236993</v>
      </c>
      <c r="M9" s="525">
        <f>ตาราง3!F6</f>
        <v>918.81381502890179</v>
      </c>
      <c r="N9" s="525">
        <f t="shared" ref="N9:N74" si="2">SUM(J9:M9)</f>
        <v>5214041.3547687866</v>
      </c>
      <c r="O9" s="526">
        <f>'1.1'!C4</f>
        <v>433</v>
      </c>
      <c r="P9" s="523" t="s">
        <v>232</v>
      </c>
      <c r="Q9" s="527">
        <f t="shared" ref="Q9:Q74" si="3">N9/O9</f>
        <v>12041.665946348237</v>
      </c>
      <c r="R9" s="528">
        <f t="shared" ref="R9:R74" si="4">+(N9-F9)/F9*100</f>
        <v>51.943965991724426</v>
      </c>
      <c r="S9" s="528">
        <f t="shared" ref="S9:S73" si="5">+(O9-G9)/G9*100</f>
        <v>-59.380863039399621</v>
      </c>
      <c r="T9" s="528">
        <f t="shared" ref="T9:T74" si="6">+(Q9-I9)/I9*100</f>
        <v>274.0699024184255</v>
      </c>
      <c r="U9" s="507"/>
      <c r="V9" s="507"/>
      <c r="W9" s="507"/>
    </row>
    <row r="10" spans="1:23">
      <c r="A10" s="520" t="s">
        <v>366</v>
      </c>
      <c r="B10" s="521">
        <v>1464629.86</v>
      </c>
      <c r="C10" s="529">
        <v>817310.2</v>
      </c>
      <c r="D10" s="529">
        <v>36671.43</v>
      </c>
      <c r="E10" s="529">
        <v>306.27</v>
      </c>
      <c r="F10" s="521">
        <f t="shared" si="0"/>
        <v>2318917.7600000002</v>
      </c>
      <c r="G10" s="522">
        <v>1065</v>
      </c>
      <c r="H10" s="523" t="s">
        <v>232</v>
      </c>
      <c r="I10" s="524">
        <f t="shared" si="1"/>
        <v>2177.3875680751175</v>
      </c>
      <c r="J10" s="525">
        <f>ตาราง3!C7</f>
        <v>1542754.3426300576</v>
      </c>
      <c r="K10" s="525">
        <f>ตาราง3!D7</f>
        <v>997990.2784104048</v>
      </c>
      <c r="L10" s="525">
        <f>ตาราง3!E7</f>
        <v>33362.409277456645</v>
      </c>
      <c r="M10" s="525">
        <f>ตาราง3!F7</f>
        <v>306.27127167630056</v>
      </c>
      <c r="N10" s="525">
        <f t="shared" si="2"/>
        <v>2574413.3015895956</v>
      </c>
      <c r="O10" s="526">
        <f>'1.1'!C5</f>
        <v>755</v>
      </c>
      <c r="P10" s="523" t="s">
        <v>232</v>
      </c>
      <c r="Q10" s="527">
        <f t="shared" si="3"/>
        <v>3409.8189425027758</v>
      </c>
      <c r="R10" s="528">
        <f t="shared" si="4"/>
        <v>11.017878511982907</v>
      </c>
      <c r="S10" s="528">
        <f t="shared" si="5"/>
        <v>-29.107981220657276</v>
      </c>
      <c r="T10" s="528">
        <f t="shared" si="6"/>
        <v>56.601378298360004</v>
      </c>
      <c r="U10" s="507"/>
      <c r="V10" s="507"/>
      <c r="W10" s="507"/>
    </row>
    <row r="11" spans="1:23">
      <c r="A11" s="520" t="s">
        <v>368</v>
      </c>
      <c r="B11" s="521">
        <v>3183057.94</v>
      </c>
      <c r="C11" s="529">
        <v>3529759.2</v>
      </c>
      <c r="D11" s="529">
        <v>137884.57</v>
      </c>
      <c r="E11" s="529">
        <v>1511.58</v>
      </c>
      <c r="F11" s="521">
        <f t="shared" si="0"/>
        <v>6852213.290000001</v>
      </c>
      <c r="G11" s="522">
        <v>74537</v>
      </c>
      <c r="H11" s="523" t="s">
        <v>232</v>
      </c>
      <c r="I11" s="524">
        <f t="shared" si="1"/>
        <v>91.930360626266165</v>
      </c>
      <c r="J11" s="525">
        <f>ตาราง3!C8</f>
        <v>3836009.5967612718</v>
      </c>
      <c r="K11" s="525">
        <f>ตาราง3!D8</f>
        <v>4869075.940728901</v>
      </c>
      <c r="L11" s="525">
        <f>ตาราง3!E8</f>
        <v>156803.32360404622</v>
      </c>
      <c r="M11" s="525">
        <f>ตาราง3!F8</f>
        <v>1439.474976878613</v>
      </c>
      <c r="N11" s="525">
        <f t="shared" si="2"/>
        <v>8863328.3360710964</v>
      </c>
      <c r="O11" s="526">
        <f>'1.1'!C6</f>
        <v>15285</v>
      </c>
      <c r="P11" s="523" t="s">
        <v>232</v>
      </c>
      <c r="Q11" s="527">
        <f t="shared" si="3"/>
        <v>579.87100661243676</v>
      </c>
      <c r="R11" s="528">
        <f t="shared" si="4"/>
        <v>29.349860562660552</v>
      </c>
      <c r="S11" s="528">
        <f t="shared" si="5"/>
        <v>-79.493405959456382</v>
      </c>
      <c r="T11" s="528">
        <f t="shared" si="6"/>
        <v>530.77203511671757</v>
      </c>
      <c r="U11" s="507"/>
      <c r="V11" s="507"/>
      <c r="W11" s="507"/>
    </row>
    <row r="12" spans="1:23">
      <c r="A12" s="520" t="s">
        <v>369</v>
      </c>
      <c r="B12" s="521">
        <v>203173.91</v>
      </c>
      <c r="C12" s="529">
        <v>225303.78</v>
      </c>
      <c r="D12" s="529">
        <v>8801.14</v>
      </c>
      <c r="E12" s="529">
        <v>73.510000000000005</v>
      </c>
      <c r="F12" s="521">
        <f t="shared" si="0"/>
        <v>437352.34</v>
      </c>
      <c r="G12" s="522">
        <v>3471</v>
      </c>
      <c r="H12" s="523" t="s">
        <v>232</v>
      </c>
      <c r="I12" s="524">
        <f t="shared" si="1"/>
        <v>126.00182656295017</v>
      </c>
      <c r="J12" s="525">
        <f>ตาราง3!C9</f>
        <v>244851.67638901738</v>
      </c>
      <c r="K12" s="525">
        <f>ตาราง3!D9</f>
        <v>310792.08132312133</v>
      </c>
      <c r="L12" s="525">
        <f>ตาราง3!E9</f>
        <v>10008.722783236992</v>
      </c>
      <c r="M12" s="525">
        <f>ตาราง3!F9</f>
        <v>91.881381502890179</v>
      </c>
      <c r="N12" s="525">
        <f t="shared" si="2"/>
        <v>565744.36187687854</v>
      </c>
      <c r="O12" s="526">
        <f>'1.1'!C7</f>
        <v>2603</v>
      </c>
      <c r="P12" s="523" t="s">
        <v>232</v>
      </c>
      <c r="Q12" s="527">
        <f t="shared" si="3"/>
        <v>217.34320471643431</v>
      </c>
      <c r="R12" s="528">
        <f t="shared" si="4"/>
        <v>29.356655980594159</v>
      </c>
      <c r="S12" s="528">
        <f t="shared" si="5"/>
        <v>-25.007202535292421</v>
      </c>
      <c r="T12" s="528">
        <f t="shared" si="6"/>
        <v>72.492106380577141</v>
      </c>
      <c r="U12" s="507"/>
      <c r="V12" s="507"/>
      <c r="W12" s="507"/>
    </row>
    <row r="13" spans="1:23">
      <c r="A13" s="520" t="s">
        <v>370</v>
      </c>
      <c r="B13" s="521">
        <v>834601.54</v>
      </c>
      <c r="C13" s="529">
        <v>701690.47</v>
      </c>
      <c r="D13" s="529">
        <v>36304.71</v>
      </c>
      <c r="E13" s="529">
        <v>303.20999999999998</v>
      </c>
      <c r="F13" s="521">
        <f t="shared" si="0"/>
        <v>1572899.93</v>
      </c>
      <c r="G13" s="522">
        <v>2036</v>
      </c>
      <c r="H13" s="523" t="s">
        <v>232</v>
      </c>
      <c r="I13" s="524">
        <f t="shared" si="1"/>
        <v>772.54416994106089</v>
      </c>
      <c r="J13" s="525">
        <f>ตาราง3!C10</f>
        <v>1145326.0955037572</v>
      </c>
      <c r="K13" s="525">
        <f>ตาราง3!D10</f>
        <v>1057748.0546263007</v>
      </c>
      <c r="L13" s="525">
        <f>ตาราง3!E10</f>
        <v>33028.785184682085</v>
      </c>
      <c r="M13" s="525">
        <f>ตาราง3!F10</f>
        <v>303.20855895953758</v>
      </c>
      <c r="N13" s="525">
        <f t="shared" si="2"/>
        <v>2236406.143873699</v>
      </c>
      <c r="O13" s="526">
        <f>'1.1'!C8</f>
        <v>2082</v>
      </c>
      <c r="P13" s="523" t="s">
        <v>232</v>
      </c>
      <c r="Q13" s="527">
        <f t="shared" si="3"/>
        <v>1074.1624130036978</v>
      </c>
      <c r="R13" s="528">
        <f t="shared" si="4"/>
        <v>42.183625367298418</v>
      </c>
      <c r="S13" s="528">
        <f t="shared" si="5"/>
        <v>2.2593320235756389</v>
      </c>
      <c r="T13" s="528">
        <f t="shared" si="6"/>
        <v>39.042200407213997</v>
      </c>
      <c r="U13" s="507"/>
      <c r="V13" s="507"/>
      <c r="W13" s="507"/>
    </row>
    <row r="14" spans="1:23">
      <c r="A14" s="520" t="s">
        <v>371</v>
      </c>
      <c r="B14" s="521">
        <v>1694494.03</v>
      </c>
      <c r="C14" s="529">
        <v>1424644.28</v>
      </c>
      <c r="D14" s="529">
        <v>73709.570000000007</v>
      </c>
      <c r="E14" s="529">
        <v>615.61</v>
      </c>
      <c r="F14" s="521">
        <f t="shared" ref="F14" si="7">SUM(B14:E14)</f>
        <v>3193463.4899999998</v>
      </c>
      <c r="G14" s="522">
        <v>3050</v>
      </c>
      <c r="H14" s="523" t="s">
        <v>232</v>
      </c>
      <c r="I14" s="524">
        <f t="shared" si="1"/>
        <v>1047.0372098360656</v>
      </c>
      <c r="J14" s="525">
        <f>ตาราง3!C11</f>
        <v>2325359.0423864159</v>
      </c>
      <c r="K14" s="525">
        <f>ตาราง3!D11</f>
        <v>2147549.0806049136</v>
      </c>
      <c r="L14" s="525">
        <f>ตาราง3!E11</f>
        <v>67058.442647687858</v>
      </c>
      <c r="M14" s="525">
        <f>ตาราง3!F11</f>
        <v>615.60525606936415</v>
      </c>
      <c r="N14" s="525">
        <f t="shared" si="2"/>
        <v>4540582.1708950866</v>
      </c>
      <c r="O14" s="526">
        <f>'1.1'!C9</f>
        <v>2481</v>
      </c>
      <c r="P14" s="523" t="s">
        <v>232</v>
      </c>
      <c r="Q14" s="527">
        <f t="shared" si="3"/>
        <v>1830.1419471564234</v>
      </c>
      <c r="R14" s="528">
        <f t="shared" si="4"/>
        <v>42.183625556185298</v>
      </c>
      <c r="S14" s="528">
        <f t="shared" si="5"/>
        <v>-18.655737704918032</v>
      </c>
      <c r="T14" s="528">
        <f t="shared" si="6"/>
        <v>74.792445766370449</v>
      </c>
      <c r="U14" s="507"/>
      <c r="V14" s="507"/>
      <c r="W14" s="507"/>
    </row>
    <row r="15" spans="1:23">
      <c r="A15" s="520" t="s">
        <v>372</v>
      </c>
      <c r="B15" s="521"/>
      <c r="C15" s="529"/>
      <c r="D15" s="529"/>
      <c r="E15" s="529"/>
      <c r="F15" s="521">
        <f t="shared" ref="F15:F75" si="8">SUM(B15:E15)</f>
        <v>0</v>
      </c>
      <c r="G15" s="522"/>
      <c r="H15" s="523" t="s">
        <v>232</v>
      </c>
      <c r="I15" s="521">
        <v>0</v>
      </c>
      <c r="J15" s="525">
        <f>ตาราง3!C12</f>
        <v>0</v>
      </c>
      <c r="K15" s="525">
        <f>ตาราง3!D12</f>
        <v>0</v>
      </c>
      <c r="L15" s="525">
        <f>ตาราง3!E12</f>
        <v>0</v>
      </c>
      <c r="M15" s="525">
        <f>+'[2]ตาราง3 '!F12</f>
        <v>0</v>
      </c>
      <c r="N15" s="525">
        <f t="shared" si="2"/>
        <v>0</v>
      </c>
      <c r="O15" s="526">
        <f>'1.1'!C10</f>
        <v>0</v>
      </c>
      <c r="P15" s="523" t="s">
        <v>232</v>
      </c>
      <c r="Q15" s="527">
        <v>0</v>
      </c>
      <c r="R15" s="521">
        <v>0</v>
      </c>
      <c r="S15" s="528">
        <v>0</v>
      </c>
      <c r="T15" s="521">
        <v>0</v>
      </c>
      <c r="U15" s="507"/>
      <c r="V15" s="507"/>
      <c r="W15" s="507"/>
    </row>
    <row r="16" spans="1:23">
      <c r="A16" s="520" t="s">
        <v>431</v>
      </c>
      <c r="B16" s="521">
        <v>14363251.560000001</v>
      </c>
      <c r="C16" s="529">
        <v>18355555.640000001</v>
      </c>
      <c r="D16" s="529">
        <v>953457.16</v>
      </c>
      <c r="E16" s="529">
        <v>7963.05</v>
      </c>
      <c r="F16" s="521">
        <f t="shared" si="8"/>
        <v>33680227.409999996</v>
      </c>
      <c r="G16" s="522">
        <v>1930</v>
      </c>
      <c r="H16" s="523" t="s">
        <v>232</v>
      </c>
      <c r="I16" s="524">
        <f t="shared" ref="I16:I75" si="9">F16/G16</f>
        <v>17450.895031088083</v>
      </c>
      <c r="J16" s="525">
        <f>ตาราง3!C13</f>
        <v>12245372.165751446</v>
      </c>
      <c r="K16" s="525">
        <f>ตาราง3!D13</f>
        <v>22788138.440260116</v>
      </c>
      <c r="L16" s="525">
        <f>ตาราง3!E13</f>
        <v>834060.23193641612</v>
      </c>
      <c r="M16" s="525">
        <f>ตาราง3!F13</f>
        <v>7656.7817919075142</v>
      </c>
      <c r="N16" s="525">
        <f t="shared" si="2"/>
        <v>35875227.61973989</v>
      </c>
      <c r="O16" s="526">
        <f>'1.1'!C11</f>
        <v>1364</v>
      </c>
      <c r="P16" s="523" t="s">
        <v>232</v>
      </c>
      <c r="Q16" s="527">
        <f t="shared" si="3"/>
        <v>26301.486524735988</v>
      </c>
      <c r="R16" s="528">
        <f t="shared" si="4"/>
        <v>6.5171775208625107</v>
      </c>
      <c r="S16" s="528">
        <f t="shared" si="5"/>
        <v>-29.326424870466322</v>
      </c>
      <c r="T16" s="528">
        <f t="shared" si="6"/>
        <v>50.717120685677877</v>
      </c>
      <c r="U16" s="507"/>
      <c r="V16" s="507"/>
      <c r="W16" s="507"/>
    </row>
    <row r="17" spans="1:23">
      <c r="A17" s="520" t="s">
        <v>373</v>
      </c>
      <c r="B17" s="521">
        <v>5466415.0199999996</v>
      </c>
      <c r="C17" s="529">
        <v>7914871.2999999998</v>
      </c>
      <c r="D17" s="529">
        <v>376615.58</v>
      </c>
      <c r="E17" s="529">
        <v>3145.41</v>
      </c>
      <c r="F17" s="521">
        <f t="shared" si="8"/>
        <v>13761047.310000001</v>
      </c>
      <c r="G17" s="522">
        <v>8635</v>
      </c>
      <c r="H17" s="523" t="s">
        <v>232</v>
      </c>
      <c r="I17" s="524">
        <f t="shared" si="9"/>
        <v>1593.6360521134916</v>
      </c>
      <c r="J17" s="525">
        <f>ตาราง3!C14</f>
        <v>4887510.2964106938</v>
      </c>
      <c r="K17" s="525">
        <f>ตาราง3!D14</f>
        <v>9715960.8966748565</v>
      </c>
      <c r="L17" s="525">
        <f>ตาราง3!E14</f>
        <v>342631.94327947975</v>
      </c>
      <c r="M17" s="525">
        <f>ตาราง3!F14</f>
        <v>3145.4059601156068</v>
      </c>
      <c r="N17" s="525">
        <f t="shared" si="2"/>
        <v>14949248.542325148</v>
      </c>
      <c r="O17" s="526">
        <f>'1.1'!C12</f>
        <v>8489</v>
      </c>
      <c r="P17" s="523" t="s">
        <v>232</v>
      </c>
      <c r="Q17" s="527">
        <f t="shared" si="3"/>
        <v>1761.0140820267579</v>
      </c>
      <c r="R17" s="528">
        <f t="shared" si="4"/>
        <v>8.6345261778272882</v>
      </c>
      <c r="S17" s="528">
        <f t="shared" si="5"/>
        <v>-1.690793283149971</v>
      </c>
      <c r="T17" s="528">
        <f t="shared" si="6"/>
        <v>10.502901819476811</v>
      </c>
      <c r="U17" s="507"/>
      <c r="V17" s="507"/>
      <c r="W17" s="507"/>
    </row>
    <row r="18" spans="1:23">
      <c r="A18" s="520" t="s">
        <v>374</v>
      </c>
      <c r="B18" s="521">
        <v>69195.13</v>
      </c>
      <c r="C18" s="529">
        <v>100188.24</v>
      </c>
      <c r="D18" s="529">
        <v>4767.29</v>
      </c>
      <c r="E18" s="529">
        <v>39.82</v>
      </c>
      <c r="F18" s="521">
        <f t="shared" si="8"/>
        <v>174190.48</v>
      </c>
      <c r="G18" s="522">
        <v>3</v>
      </c>
      <c r="H18" s="523" t="s">
        <v>232</v>
      </c>
      <c r="I18" s="524">
        <f t="shared" si="9"/>
        <v>58063.493333333339</v>
      </c>
      <c r="J18" s="525">
        <f>ตาราง3!C15</f>
        <v>61867.218941907522</v>
      </c>
      <c r="K18" s="525">
        <f>ตาราง3!D15</f>
        <v>122986.84679335261</v>
      </c>
      <c r="L18" s="525">
        <f>ตาราง3!E15</f>
        <v>4337.1132060693644</v>
      </c>
      <c r="M18" s="525">
        <f>ตาราง3!F15</f>
        <v>39.815265317919078</v>
      </c>
      <c r="N18" s="525">
        <f t="shared" si="2"/>
        <v>189230.99420664742</v>
      </c>
      <c r="O18" s="526">
        <f>'1.1'!C13</f>
        <v>3</v>
      </c>
      <c r="P18" s="523" t="s">
        <v>232</v>
      </c>
      <c r="Q18" s="527">
        <f t="shared" si="3"/>
        <v>63076.998068882473</v>
      </c>
      <c r="R18" s="528">
        <f t="shared" si="4"/>
        <v>8.6345213622738779</v>
      </c>
      <c r="S18" s="528">
        <f t="shared" si="5"/>
        <v>0</v>
      </c>
      <c r="T18" s="528">
        <f t="shared" si="6"/>
        <v>8.6345213622738726</v>
      </c>
      <c r="U18" s="507"/>
      <c r="V18" s="507"/>
      <c r="W18" s="507"/>
    </row>
    <row r="19" spans="1:23">
      <c r="A19" s="520" t="s">
        <v>375</v>
      </c>
      <c r="B19" s="521">
        <v>968731.78</v>
      </c>
      <c r="C19" s="529">
        <v>1402635.42</v>
      </c>
      <c r="D19" s="529">
        <v>66742</v>
      </c>
      <c r="E19" s="529">
        <v>557.41</v>
      </c>
      <c r="F19" s="521">
        <f t="shared" si="8"/>
        <v>2438666.6100000003</v>
      </c>
      <c r="G19" s="522">
        <v>1076</v>
      </c>
      <c r="H19" s="523" t="s">
        <v>232</v>
      </c>
      <c r="I19" s="524">
        <f t="shared" si="9"/>
        <v>2266.4187825278814</v>
      </c>
      <c r="J19" s="525">
        <f>ตาราง3!C16</f>
        <v>866141.06518670532</v>
      </c>
      <c r="K19" s="525">
        <f>ตาราง3!D16</f>
        <v>1721815.8551069363</v>
      </c>
      <c r="L19" s="525">
        <f>ตาราง3!E16</f>
        <v>60719.584884971104</v>
      </c>
      <c r="M19" s="525">
        <f>ตาราง3!F16</f>
        <v>557.41371445086702</v>
      </c>
      <c r="N19" s="525">
        <f t="shared" si="2"/>
        <v>2649233.9188930634</v>
      </c>
      <c r="O19" s="526">
        <f>'1.1'!C14</f>
        <v>3872</v>
      </c>
      <c r="P19" s="523" t="s">
        <v>232</v>
      </c>
      <c r="Q19" s="527">
        <f t="shared" si="3"/>
        <v>684.20297492072916</v>
      </c>
      <c r="R19" s="528">
        <f t="shared" si="4"/>
        <v>8.6345262624095671</v>
      </c>
      <c r="S19" s="528">
        <f t="shared" si="5"/>
        <v>259.85130111524165</v>
      </c>
      <c r="T19" s="528">
        <f t="shared" si="6"/>
        <v>-69.811273177078334</v>
      </c>
      <c r="U19" s="507"/>
      <c r="V19" s="507"/>
      <c r="W19" s="507"/>
    </row>
    <row r="20" spans="1:23">
      <c r="A20" s="520" t="s">
        <v>376</v>
      </c>
      <c r="B20" s="521">
        <v>415170.76</v>
      </c>
      <c r="C20" s="529">
        <v>601129.47</v>
      </c>
      <c r="D20" s="529">
        <v>28603.71</v>
      </c>
      <c r="E20" s="529">
        <v>238.89</v>
      </c>
      <c r="F20" s="521">
        <f t="shared" si="8"/>
        <v>1045142.83</v>
      </c>
      <c r="G20" s="522">
        <v>1799</v>
      </c>
      <c r="H20" s="523" t="s">
        <v>232</v>
      </c>
      <c r="I20" s="524">
        <f t="shared" si="9"/>
        <v>580.95765981100612</v>
      </c>
      <c r="J20" s="525">
        <f>ตาราง3!C17</f>
        <v>371203.31365144515</v>
      </c>
      <c r="K20" s="525">
        <f>ตาราง3!D17</f>
        <v>737921.08076011564</v>
      </c>
      <c r="L20" s="525">
        <f>ตาราง3!E17</f>
        <v>26022.679236416185</v>
      </c>
      <c r="M20" s="525">
        <f>ตาราง3!F17</f>
        <v>238.89159190751445</v>
      </c>
      <c r="N20" s="525">
        <f t="shared" si="2"/>
        <v>1135385.9652398846</v>
      </c>
      <c r="O20" s="526">
        <f>'1.1'!C15</f>
        <v>1758</v>
      </c>
      <c r="P20" s="523" t="s">
        <v>232</v>
      </c>
      <c r="Q20" s="527">
        <f t="shared" si="3"/>
        <v>645.83957067115159</v>
      </c>
      <c r="R20" s="528">
        <f t="shared" si="4"/>
        <v>8.6345265593875435</v>
      </c>
      <c r="S20" s="528">
        <f t="shared" si="5"/>
        <v>-2.2790439132851583</v>
      </c>
      <c r="T20" s="528">
        <f t="shared" si="6"/>
        <v>11.168096291432406</v>
      </c>
      <c r="U20" s="507"/>
      <c r="V20" s="507"/>
      <c r="W20" s="507"/>
    </row>
    <row r="21" spans="1:23">
      <c r="A21" s="520" t="s">
        <v>377</v>
      </c>
      <c r="B21" s="523"/>
      <c r="C21" s="530"/>
      <c r="D21" s="530"/>
      <c r="E21" s="530"/>
      <c r="F21" s="521"/>
      <c r="G21" s="522"/>
      <c r="H21" s="523"/>
      <c r="I21" s="524"/>
      <c r="J21" s="525"/>
      <c r="K21" s="525"/>
      <c r="L21" s="525"/>
      <c r="M21" s="525"/>
      <c r="N21" s="525">
        <f t="shared" si="2"/>
        <v>0</v>
      </c>
      <c r="O21" s="526"/>
      <c r="P21" s="523"/>
      <c r="Q21" s="527"/>
      <c r="R21" s="528"/>
      <c r="S21" s="528"/>
      <c r="T21" s="528"/>
      <c r="U21" s="507"/>
      <c r="V21" s="507"/>
      <c r="W21" s="507"/>
    </row>
    <row r="22" spans="1:23">
      <c r="A22" s="520" t="s">
        <v>378</v>
      </c>
      <c r="B22" s="521">
        <v>7492984.6100000003</v>
      </c>
      <c r="C22" s="521">
        <v>11956411.68</v>
      </c>
      <c r="D22" s="529">
        <v>586742.87</v>
      </c>
      <c r="E22" s="529">
        <v>4900.34</v>
      </c>
      <c r="F22" s="521">
        <f t="shared" si="8"/>
        <v>20041039.5</v>
      </c>
      <c r="G22" s="522">
        <v>3043</v>
      </c>
      <c r="H22" s="523" t="s">
        <v>232</v>
      </c>
      <c r="I22" s="524">
        <f t="shared" si="9"/>
        <v>6585.9479132435099</v>
      </c>
      <c r="J22" s="525">
        <f>ตาราง3!C19</f>
        <v>6434649.6436705207</v>
      </c>
      <c r="K22" s="525">
        <f>ตาราง3!D19</f>
        <v>8321652.695693641</v>
      </c>
      <c r="L22" s="525">
        <f>ตาราง3!E19</f>
        <v>300261.6834971098</v>
      </c>
      <c r="M22" s="525">
        <f>ตาราง3!F19</f>
        <v>2756.4414450867057</v>
      </c>
      <c r="N22" s="525">
        <f t="shared" si="2"/>
        <v>15059320.464306358</v>
      </c>
      <c r="O22" s="526">
        <f>'1.1'!C17</f>
        <v>4129</v>
      </c>
      <c r="P22" s="523" t="s">
        <v>232</v>
      </c>
      <c r="Q22" s="527">
        <f t="shared" si="3"/>
        <v>3647.2076687591084</v>
      </c>
      <c r="R22" s="528">
        <f t="shared" si="4"/>
        <v>-24.857588029271842</v>
      </c>
      <c r="S22" s="528">
        <f t="shared" si="5"/>
        <v>35.688465330266183</v>
      </c>
      <c r="T22" s="528">
        <f t="shared" si="6"/>
        <v>-44.621370882313933</v>
      </c>
      <c r="U22" s="507"/>
      <c r="V22" s="507"/>
      <c r="W22" s="507"/>
    </row>
    <row r="23" spans="1:23">
      <c r="A23" s="520" t="s">
        <v>247</v>
      </c>
      <c r="B23" s="521">
        <v>1765956.96</v>
      </c>
      <c r="C23" s="521">
        <v>4525291.21</v>
      </c>
      <c r="D23" s="529">
        <v>183357.15</v>
      </c>
      <c r="E23" s="529">
        <v>1531.36</v>
      </c>
      <c r="F23" s="521">
        <f t="shared" si="8"/>
        <v>6476136.6800000006</v>
      </c>
      <c r="G23" s="522">
        <v>5021</v>
      </c>
      <c r="H23" s="523" t="s">
        <v>232</v>
      </c>
      <c r="I23" s="524">
        <f t="shared" si="9"/>
        <v>1289.810133439554</v>
      </c>
      <c r="J23" s="525">
        <f>ตาราง3!C20</f>
        <v>1530574.4257803471</v>
      </c>
      <c r="K23" s="525">
        <f>ตาราง3!D20</f>
        <v>4819126.3804624286</v>
      </c>
      <c r="L23" s="525">
        <f>ตาราง3!E20</f>
        <v>200174.45566473986</v>
      </c>
      <c r="M23" s="525">
        <f>ตาราง3!F20</f>
        <v>1837.6276300578036</v>
      </c>
      <c r="N23" s="525">
        <f t="shared" si="2"/>
        <v>6551712.8895375729</v>
      </c>
      <c r="O23" s="526">
        <f>'1.1'!C18</f>
        <v>4486</v>
      </c>
      <c r="P23" s="523" t="s">
        <v>232</v>
      </c>
      <c r="Q23" s="527">
        <f t="shared" si="3"/>
        <v>1460.47991295978</v>
      </c>
      <c r="R23" s="528">
        <f t="shared" si="4"/>
        <v>1.1669952824030301</v>
      </c>
      <c r="S23" s="528">
        <f t="shared" si="5"/>
        <v>-10.655247958573989</v>
      </c>
      <c r="T23" s="528">
        <f t="shared" si="6"/>
        <v>13.232163021164878</v>
      </c>
      <c r="U23" s="507"/>
      <c r="V23" s="507"/>
      <c r="W23" s="507"/>
    </row>
    <row r="24" spans="1:23">
      <c r="A24" s="520" t="s">
        <v>1481</v>
      </c>
      <c r="B24" s="521">
        <v>1829518.35</v>
      </c>
      <c r="C24" s="521">
        <v>6021563.0499999998</v>
      </c>
      <c r="D24" s="529">
        <v>256700</v>
      </c>
      <c r="E24" s="529">
        <v>2143.9</v>
      </c>
      <c r="F24" s="521">
        <f t="shared" si="8"/>
        <v>8109925.3000000007</v>
      </c>
      <c r="G24" s="522">
        <v>1365</v>
      </c>
      <c r="H24" s="523" t="s">
        <v>232</v>
      </c>
      <c r="I24" s="524">
        <f t="shared" si="9"/>
        <v>5941.3372161172165</v>
      </c>
      <c r="J24" s="525">
        <f>ตาราง3!C21</f>
        <v>951138.12052023131</v>
      </c>
      <c r="K24" s="525">
        <f>ตาราง3!D21</f>
        <v>3655410.5636416189</v>
      </c>
      <c r="L24" s="525">
        <f>ตาราง3!E21</f>
        <v>133449.63710982658</v>
      </c>
      <c r="M24" s="525">
        <f>ตาราง3!F21</f>
        <v>1225.0850867052022</v>
      </c>
      <c r="N24" s="525">
        <f t="shared" si="2"/>
        <v>4741223.4063583817</v>
      </c>
      <c r="O24" s="526">
        <f>'1.1'!C19</f>
        <v>1833</v>
      </c>
      <c r="P24" s="523" t="s">
        <v>232</v>
      </c>
      <c r="Q24" s="527">
        <f t="shared" si="3"/>
        <v>2586.5921474950255</v>
      </c>
      <c r="R24" s="528">
        <f t="shared" si="4"/>
        <v>-41.53801384140516</v>
      </c>
      <c r="S24" s="528">
        <f t="shared" si="5"/>
        <v>34.285714285714285</v>
      </c>
      <c r="T24" s="528">
        <f t="shared" si="6"/>
        <v>-56.464478392535753</v>
      </c>
      <c r="U24" s="507"/>
      <c r="V24" s="507"/>
      <c r="W24" s="507"/>
    </row>
    <row r="25" spans="1:23">
      <c r="A25" s="520" t="s">
        <v>251</v>
      </c>
      <c r="B25" s="521">
        <v>1535096.93</v>
      </c>
      <c r="C25" s="521">
        <v>3207986.81</v>
      </c>
      <c r="D25" s="529">
        <v>139351.43</v>
      </c>
      <c r="E25" s="529">
        <v>1163.83</v>
      </c>
      <c r="F25" s="521">
        <f t="shared" si="8"/>
        <v>4883599</v>
      </c>
      <c r="G25" s="522">
        <v>2113</v>
      </c>
      <c r="H25" s="523" t="s">
        <v>232</v>
      </c>
      <c r="I25" s="524">
        <f t="shared" si="9"/>
        <v>2311.2158069096072</v>
      </c>
      <c r="J25" s="525">
        <f>ตาราง3!C22</f>
        <v>1564764.5267942196</v>
      </c>
      <c r="K25" s="525">
        <f>ตาราง3!D22</f>
        <v>2876045.2319595371</v>
      </c>
      <c r="L25" s="525">
        <f>ตาราง3!E22</f>
        <v>126777.15525433526</v>
      </c>
      <c r="M25" s="525">
        <f>ตาราง3!F22</f>
        <v>1163.8308323699423</v>
      </c>
      <c r="N25" s="525">
        <f t="shared" si="2"/>
        <v>4568750.7448404618</v>
      </c>
      <c r="O25" s="526">
        <f>'1.1'!C20</f>
        <v>2068</v>
      </c>
      <c r="P25" s="523" t="s">
        <v>232</v>
      </c>
      <c r="Q25" s="527">
        <f t="shared" si="3"/>
        <v>2209.2605149131828</v>
      </c>
      <c r="R25" s="528">
        <f t="shared" si="4"/>
        <v>-6.447053805186262</v>
      </c>
      <c r="S25" s="528">
        <f t="shared" si="5"/>
        <v>-2.1296734500709893</v>
      </c>
      <c r="T25" s="528">
        <f t="shared" si="6"/>
        <v>-4.4113272197091691</v>
      </c>
      <c r="U25" s="507"/>
      <c r="V25" s="507"/>
      <c r="W25" s="507"/>
    </row>
    <row r="26" spans="1:23">
      <c r="A26" s="520" t="s">
        <v>252</v>
      </c>
      <c r="B26" s="521">
        <v>484767.45</v>
      </c>
      <c r="C26" s="529">
        <v>1013048.47</v>
      </c>
      <c r="D26" s="529">
        <v>44005.71</v>
      </c>
      <c r="E26" s="529">
        <v>367.53</v>
      </c>
      <c r="F26" s="521">
        <f t="shared" si="8"/>
        <v>1542189.16</v>
      </c>
      <c r="G26" s="522">
        <v>138</v>
      </c>
      <c r="H26" s="523" t="s">
        <v>232</v>
      </c>
      <c r="I26" s="524">
        <f t="shared" si="9"/>
        <v>11175.283768115942</v>
      </c>
      <c r="J26" s="525">
        <f>ตาราง3!C23</f>
        <v>494136.16635606927</v>
      </c>
      <c r="K26" s="525">
        <f>ตาราง3!D23</f>
        <v>908224.81009248551</v>
      </c>
      <c r="L26" s="525">
        <f>ตาราง3!E23</f>
        <v>40034.891132947967</v>
      </c>
      <c r="M26" s="525">
        <f>ตาราง3!F23</f>
        <v>367.52552601156071</v>
      </c>
      <c r="N26" s="525">
        <f t="shared" si="2"/>
        <v>1442763.3931075144</v>
      </c>
      <c r="O26" s="526">
        <f>'1.1'!C21</f>
        <v>115</v>
      </c>
      <c r="P26" s="523" t="s">
        <v>232</v>
      </c>
      <c r="Q26" s="527">
        <f t="shared" si="3"/>
        <v>12545.768635717517</v>
      </c>
      <c r="R26" s="528">
        <f t="shared" si="4"/>
        <v>-6.4470539328966332</v>
      </c>
      <c r="S26" s="528">
        <f t="shared" si="5"/>
        <v>-16.666666666666664</v>
      </c>
      <c r="T26" s="528">
        <f t="shared" si="6"/>
        <v>12.263535280524044</v>
      </c>
      <c r="U26" s="507"/>
      <c r="V26" s="507"/>
      <c r="W26" s="507"/>
    </row>
    <row r="27" spans="1:23">
      <c r="A27" s="520" t="s">
        <v>254</v>
      </c>
      <c r="B27" s="521">
        <v>5542040.9100000001</v>
      </c>
      <c r="C27" s="529">
        <v>9563488.3300000001</v>
      </c>
      <c r="D27" s="529">
        <v>459859.72</v>
      </c>
      <c r="E27" s="529">
        <v>3840.64</v>
      </c>
      <c r="F27" s="521">
        <f t="shared" si="8"/>
        <v>15569229.600000001</v>
      </c>
      <c r="G27" s="522">
        <v>20239</v>
      </c>
      <c r="H27" s="523" t="s">
        <v>232</v>
      </c>
      <c r="I27" s="524">
        <f t="shared" si="9"/>
        <v>769.26871881021793</v>
      </c>
      <c r="J27" s="525">
        <f>ตาราง3!C24</f>
        <v>5311910.2946809242</v>
      </c>
      <c r="K27" s="525">
        <f>ตาราง3!D24</f>
        <v>10984842.737266472</v>
      </c>
      <c r="L27" s="525">
        <f>ตาราง3!E24</f>
        <v>418364.61233930633</v>
      </c>
      <c r="M27" s="525">
        <f>ตาราง3!F24</f>
        <v>3840.6417468208092</v>
      </c>
      <c r="N27" s="525">
        <f t="shared" si="2"/>
        <v>16718958.286033524</v>
      </c>
      <c r="O27" s="526">
        <f>'1.1'!C22</f>
        <v>7109</v>
      </c>
      <c r="P27" s="523" t="s">
        <v>232</v>
      </c>
      <c r="Q27" s="527">
        <f t="shared" si="3"/>
        <v>2351.8017001031826</v>
      </c>
      <c r="R27" s="528">
        <f t="shared" si="4"/>
        <v>7.3846215617086317</v>
      </c>
      <c r="S27" s="528">
        <f t="shared" si="5"/>
        <v>-64.874746776026484</v>
      </c>
      <c r="T27" s="528">
        <f t="shared" si="6"/>
        <v>205.71913852685628</v>
      </c>
      <c r="U27" s="507"/>
      <c r="V27" s="507"/>
      <c r="W27" s="507"/>
    </row>
    <row r="28" spans="1:23">
      <c r="A28" s="520" t="s">
        <v>255</v>
      </c>
      <c r="B28" s="521">
        <v>4180837.88</v>
      </c>
      <c r="C28" s="529">
        <v>7214561.3700000001</v>
      </c>
      <c r="D28" s="529">
        <v>346911.72</v>
      </c>
      <c r="E28" s="529">
        <v>2897.33</v>
      </c>
      <c r="F28" s="521">
        <f t="shared" si="8"/>
        <v>11745208.300000001</v>
      </c>
      <c r="G28" s="522">
        <v>24873</v>
      </c>
      <c r="H28" s="523" t="s">
        <v>232</v>
      </c>
      <c r="I28" s="524">
        <f t="shared" si="9"/>
        <v>472.20714429300853</v>
      </c>
      <c r="J28" s="525">
        <f>ตาราง3!C25</f>
        <v>4007230.5731803463</v>
      </c>
      <c r="K28" s="525">
        <f>ตาราง3!D25</f>
        <v>8286811.1877624262</v>
      </c>
      <c r="L28" s="525">
        <f>ตาราง3!E25</f>
        <v>315608.39176473982</v>
      </c>
      <c r="M28" s="525">
        <f>ตาราง3!F25</f>
        <v>2897.3262300578035</v>
      </c>
      <c r="N28" s="525">
        <f t="shared" si="2"/>
        <v>12612547.47893757</v>
      </c>
      <c r="O28" s="526">
        <f>'1.1'!C23</f>
        <v>20662</v>
      </c>
      <c r="P28" s="523" t="s">
        <v>232</v>
      </c>
      <c r="Q28" s="527">
        <f t="shared" si="3"/>
        <v>610.4223927469543</v>
      </c>
      <c r="R28" s="528">
        <f t="shared" si="4"/>
        <v>7.3846215135883897</v>
      </c>
      <c r="S28" s="528">
        <f t="shared" si="5"/>
        <v>-16.930004422466126</v>
      </c>
      <c r="T28" s="528">
        <f t="shared" si="6"/>
        <v>29.270046022044522</v>
      </c>
      <c r="U28" s="507"/>
      <c r="V28" s="507"/>
      <c r="W28" s="507"/>
    </row>
    <row r="29" spans="1:23">
      <c r="A29" s="531" t="s">
        <v>1462</v>
      </c>
      <c r="B29" s="521">
        <v>776998.71</v>
      </c>
      <c r="C29" s="529">
        <v>1682996.09</v>
      </c>
      <c r="D29" s="529">
        <v>52806.86</v>
      </c>
      <c r="E29" s="529">
        <v>441.03</v>
      </c>
      <c r="F29" s="521">
        <f t="shared" si="8"/>
        <v>2513242.6899999995</v>
      </c>
      <c r="G29" s="522">
        <v>1500</v>
      </c>
      <c r="H29" s="523" t="s">
        <v>232</v>
      </c>
      <c r="I29" s="524">
        <f t="shared" si="9"/>
        <v>1675.4951266666662</v>
      </c>
      <c r="J29" s="525">
        <f>ตาราง3!C26</f>
        <v>624332.74698728335</v>
      </c>
      <c r="K29" s="525">
        <f>ตาราง3!D26</f>
        <v>1532487.3601109826</v>
      </c>
      <c r="L29" s="525">
        <f>ตาราง3!E26</f>
        <v>48041.869359537566</v>
      </c>
      <c r="M29" s="525">
        <f>ตาราง3!F26</f>
        <v>441.03063121387282</v>
      </c>
      <c r="N29" s="525">
        <f t="shared" si="2"/>
        <v>2205303.0070890174</v>
      </c>
      <c r="O29" s="526">
        <f>'1.1'!C24</f>
        <v>1771</v>
      </c>
      <c r="P29" s="523" t="s">
        <v>232</v>
      </c>
      <c r="Q29" s="527">
        <f>N29/100</f>
        <v>22053.030070890174</v>
      </c>
      <c r="R29" s="528">
        <f t="shared" si="4"/>
        <v>-12.252683918518912</v>
      </c>
      <c r="S29" s="528">
        <f t="shared" si="5"/>
        <v>18.066666666666666</v>
      </c>
      <c r="T29" s="528">
        <f t="shared" si="6"/>
        <v>1216.2097412222165</v>
      </c>
      <c r="U29" s="507"/>
      <c r="V29" s="507"/>
      <c r="W29" s="507"/>
    </row>
    <row r="30" spans="1:23">
      <c r="A30" s="531" t="s">
        <v>1463</v>
      </c>
      <c r="B30" s="521">
        <v>302166.15999999997</v>
      </c>
      <c r="C30" s="529">
        <v>654498.48</v>
      </c>
      <c r="D30" s="529">
        <v>20536</v>
      </c>
      <c r="E30" s="529">
        <v>171.51</v>
      </c>
      <c r="F30" s="521">
        <f t="shared" si="8"/>
        <v>977372.14999999991</v>
      </c>
      <c r="G30" s="522">
        <v>401</v>
      </c>
      <c r="H30" s="523" t="s">
        <v>232</v>
      </c>
      <c r="I30" s="524">
        <f t="shared" si="9"/>
        <v>2437.3370324189523</v>
      </c>
      <c r="J30" s="525">
        <f>ตาราง3!C27</f>
        <v>242796.06827283237</v>
      </c>
      <c r="K30" s="525">
        <f>ตาราง3!D27</f>
        <v>595967.30670982657</v>
      </c>
      <c r="L30" s="525">
        <f>ตาราง3!E27</f>
        <v>18682.949195375721</v>
      </c>
      <c r="M30" s="525">
        <f>ตาราง3!F27</f>
        <v>171.51191213872829</v>
      </c>
      <c r="N30" s="525">
        <f t="shared" si="2"/>
        <v>857617.83609017346</v>
      </c>
      <c r="O30" s="526">
        <f>'1.1'!C25</f>
        <v>482</v>
      </c>
      <c r="P30" s="523" t="s">
        <v>232</v>
      </c>
      <c r="Q30" s="527">
        <f t="shared" si="3"/>
        <v>1779.2901163696545</v>
      </c>
      <c r="R30" s="528">
        <f t="shared" si="4"/>
        <v>-12.25268327011635</v>
      </c>
      <c r="S30" s="528">
        <f t="shared" si="5"/>
        <v>20.199501246882793</v>
      </c>
      <c r="T30" s="528">
        <f t="shared" si="6"/>
        <v>-26.998601641735796</v>
      </c>
      <c r="U30" s="507"/>
      <c r="V30" s="507"/>
      <c r="W30" s="507"/>
    </row>
    <row r="31" spans="1:23">
      <c r="A31" s="520" t="s">
        <v>260</v>
      </c>
      <c r="B31" s="521">
        <v>827211.76</v>
      </c>
      <c r="C31" s="529">
        <v>2460121.7599999998</v>
      </c>
      <c r="D31" s="529">
        <v>88011.43</v>
      </c>
      <c r="E31" s="529">
        <v>735.05</v>
      </c>
      <c r="F31" s="521">
        <f t="shared" si="8"/>
        <v>3376079.9999999995</v>
      </c>
      <c r="G31" s="522">
        <v>1539</v>
      </c>
      <c r="H31" s="523" t="s">
        <v>232</v>
      </c>
      <c r="I31" s="524">
        <f t="shared" si="9"/>
        <v>2193.6842105263154</v>
      </c>
      <c r="J31" s="525">
        <f>ตาราง3!C28</f>
        <v>636880.87231213867</v>
      </c>
      <c r="K31" s="525">
        <f>ตาราง3!D28</f>
        <v>2353645.7121849712</v>
      </c>
      <c r="L31" s="525">
        <f>ตาราง3!E28</f>
        <v>80069.782265895949</v>
      </c>
      <c r="M31" s="525">
        <f>ตาราง3!F28</f>
        <v>735.05105202312131</v>
      </c>
      <c r="N31" s="525">
        <f t="shared" si="2"/>
        <v>3071331.4178150292</v>
      </c>
      <c r="O31" s="526">
        <f>'1.1'!C26</f>
        <v>658</v>
      </c>
      <c r="P31" s="523" t="s">
        <v>232</v>
      </c>
      <c r="Q31" s="527">
        <f t="shared" si="3"/>
        <v>4667.6769267705613</v>
      </c>
      <c r="R31" s="528">
        <f t="shared" si="4"/>
        <v>-9.0266990765909103</v>
      </c>
      <c r="S31" s="528">
        <f t="shared" si="5"/>
        <v>-57.244964262508127</v>
      </c>
      <c r="T31" s="528">
        <f t="shared" si="6"/>
        <v>112.77797890748724</v>
      </c>
      <c r="U31" s="507"/>
      <c r="V31" s="507"/>
      <c r="W31" s="507"/>
    </row>
    <row r="32" spans="1:23">
      <c r="A32" s="520" t="s">
        <v>432</v>
      </c>
      <c r="B32" s="521">
        <v>551474.5</v>
      </c>
      <c r="C32" s="529">
        <v>1640081.17</v>
      </c>
      <c r="D32" s="529">
        <v>58674.29</v>
      </c>
      <c r="E32" s="529">
        <v>490.03</v>
      </c>
      <c r="F32" s="521">
        <f t="shared" si="8"/>
        <v>2250719.9899999998</v>
      </c>
      <c r="G32" s="522">
        <v>3229</v>
      </c>
      <c r="H32" s="523" t="s">
        <v>232</v>
      </c>
      <c r="I32" s="524">
        <f t="shared" si="9"/>
        <v>697.03313409724365</v>
      </c>
      <c r="J32" s="525">
        <f>ตาราง3!C29</f>
        <v>424587.24820809247</v>
      </c>
      <c r="K32" s="525">
        <f>ตาราง3!D29</f>
        <v>1569097.1414566475</v>
      </c>
      <c r="L32" s="525">
        <f>ตาราง3!E29</f>
        <v>53379.854843930632</v>
      </c>
      <c r="M32" s="525">
        <f>ตาราง3!F29</f>
        <v>490.03403468208091</v>
      </c>
      <c r="N32" s="525">
        <f t="shared" si="2"/>
        <v>2047554.2785433526</v>
      </c>
      <c r="O32" s="526">
        <f>'1.1'!C27</f>
        <v>2716</v>
      </c>
      <c r="P32" s="523" t="s">
        <v>232</v>
      </c>
      <c r="Q32" s="527">
        <f t="shared" si="3"/>
        <v>753.88596411758192</v>
      </c>
      <c r="R32" s="528">
        <f t="shared" si="4"/>
        <v>-9.0266986723944793</v>
      </c>
      <c r="S32" s="528">
        <f>+(O32-G32)/G32*100</f>
        <v>-15.887271601114897</v>
      </c>
      <c r="T32" s="528">
        <f t="shared" si="6"/>
        <v>8.1564027933866754</v>
      </c>
      <c r="U32" s="507"/>
      <c r="V32" s="507"/>
      <c r="W32" s="507"/>
    </row>
    <row r="33" spans="1:23">
      <c r="A33" s="520" t="s">
        <v>433</v>
      </c>
      <c r="B33" s="521">
        <v>5372401.1299999999</v>
      </c>
      <c r="C33" s="529">
        <v>8667359.8699999992</v>
      </c>
      <c r="D33" s="529">
        <v>403385.72</v>
      </c>
      <c r="E33" s="529">
        <v>3368.98</v>
      </c>
      <c r="F33" s="521">
        <f t="shared" si="8"/>
        <v>14446515.700000001</v>
      </c>
      <c r="G33" s="522">
        <v>206527</v>
      </c>
      <c r="H33" s="523" t="s">
        <v>232</v>
      </c>
      <c r="I33" s="524">
        <f t="shared" si="9"/>
        <v>69.949767826966934</v>
      </c>
      <c r="J33" s="525">
        <f>ตาราง3!C30</f>
        <v>4706486.3189306362</v>
      </c>
      <c r="K33" s="525">
        <f>ตาราง3!D30</f>
        <v>9106784.5225144513</v>
      </c>
      <c r="L33" s="525">
        <f>ตาราง3!E30</f>
        <v>366986.50205202313</v>
      </c>
      <c r="M33" s="525">
        <f>ตาราง3!F30</f>
        <v>3368.9839884393064</v>
      </c>
      <c r="N33" s="525">
        <f t="shared" si="2"/>
        <v>14183626.327485552</v>
      </c>
      <c r="O33" s="526">
        <f>'1.1'!C28</f>
        <v>246200</v>
      </c>
      <c r="P33" s="523" t="s">
        <v>232</v>
      </c>
      <c r="Q33" s="527">
        <f t="shared" si="3"/>
        <v>57.610180046651308</v>
      </c>
      <c r="R33" s="528">
        <f t="shared" si="4"/>
        <v>-1.8197424069144164</v>
      </c>
      <c r="S33" s="528">
        <f>+(O33-G33)/G33*100</f>
        <v>19.209594871372751</v>
      </c>
      <c r="T33" s="528">
        <f t="shared" si="6"/>
        <v>-17.640641511262437</v>
      </c>
      <c r="U33" s="507"/>
      <c r="V33" s="507"/>
      <c r="W33" s="507"/>
    </row>
    <row r="34" spans="1:23">
      <c r="A34" s="520" t="s">
        <v>382</v>
      </c>
      <c r="B34" s="521">
        <v>13088551.15</v>
      </c>
      <c r="C34" s="529">
        <v>21606120.210000001</v>
      </c>
      <c r="D34" s="529">
        <v>1063471.44</v>
      </c>
      <c r="E34" s="529">
        <v>8881.8700000000008</v>
      </c>
      <c r="F34" s="521">
        <f t="shared" si="8"/>
        <v>35767024.669999994</v>
      </c>
      <c r="G34" s="522">
        <v>74537</v>
      </c>
      <c r="H34" s="523" t="s">
        <v>232</v>
      </c>
      <c r="I34" s="524">
        <f t="shared" si="9"/>
        <v>479.85597314085612</v>
      </c>
      <c r="J34" s="525">
        <f>ตาราง3!C31</f>
        <v>11713440.071531795</v>
      </c>
      <c r="K34" s="525">
        <f>ตาราง3!D31</f>
        <v>23886824.410722539</v>
      </c>
      <c r="L34" s="525">
        <f>ตาราง3!E31</f>
        <v>1034234.687601156</v>
      </c>
      <c r="M34" s="525">
        <f>ตาราง3!F31</f>
        <v>9494.409421965318</v>
      </c>
      <c r="N34" s="525">
        <f t="shared" si="2"/>
        <v>36643993.579277456</v>
      </c>
      <c r="O34" s="526">
        <f>'1.1'!C29</f>
        <v>67049</v>
      </c>
      <c r="P34" s="523" t="s">
        <v>232</v>
      </c>
      <c r="Q34" s="527">
        <f t="shared" si="3"/>
        <v>546.52557949078221</v>
      </c>
      <c r="R34" s="528">
        <f t="shared" si="4"/>
        <v>2.4518922593330199</v>
      </c>
      <c r="S34" s="528">
        <f t="shared" si="5"/>
        <v>-10.046017414170144</v>
      </c>
      <c r="T34" s="528">
        <f t="shared" si="6"/>
        <v>13.893670201403536</v>
      </c>
      <c r="U34" s="507"/>
      <c r="V34" s="507"/>
      <c r="W34" s="507"/>
    </row>
    <row r="35" spans="1:23">
      <c r="A35" s="520" t="s">
        <v>267</v>
      </c>
      <c r="B35" s="521">
        <v>17677669.32</v>
      </c>
      <c r="C35" s="529">
        <v>26684652.289999999</v>
      </c>
      <c r="D35" s="529">
        <v>1283500.02</v>
      </c>
      <c r="E35" s="529">
        <v>10719.49</v>
      </c>
      <c r="F35" s="521">
        <f t="shared" si="8"/>
        <v>45656541.120000005</v>
      </c>
      <c r="G35" s="522">
        <v>3215</v>
      </c>
      <c r="H35" s="523" t="s">
        <v>232</v>
      </c>
      <c r="I35" s="524">
        <f t="shared" si="9"/>
        <v>14201.101437013998</v>
      </c>
      <c r="J35" s="525">
        <f>ตาราง3!C32</f>
        <v>16820492.333092488</v>
      </c>
      <c r="K35" s="525">
        <f>ตาราง3!D32</f>
        <v>34936937.851647399</v>
      </c>
      <c r="L35" s="525">
        <f>ตาราง3!E32</f>
        <v>1434583.5989306357</v>
      </c>
      <c r="M35" s="525">
        <f>ตาราง3!F32</f>
        <v>13169.664682080926</v>
      </c>
      <c r="N35" s="525">
        <f t="shared" si="2"/>
        <v>53205183.448352605</v>
      </c>
      <c r="O35" s="526">
        <f>'1.1'!C30</f>
        <v>2565</v>
      </c>
      <c r="P35" s="523" t="s">
        <v>232</v>
      </c>
      <c r="Q35" s="527">
        <f t="shared" si="3"/>
        <v>20742.761578305108</v>
      </c>
      <c r="R35" s="528">
        <f t="shared" si="4"/>
        <v>16.533539648814727</v>
      </c>
      <c r="S35" s="528">
        <f t="shared" si="5"/>
        <v>-20.217729393468119</v>
      </c>
      <c r="T35" s="528">
        <f t="shared" si="6"/>
        <v>46.064456129021181</v>
      </c>
      <c r="U35" s="507"/>
      <c r="V35" s="507"/>
      <c r="W35" s="507"/>
    </row>
    <row r="36" spans="1:23">
      <c r="A36" s="520" t="s">
        <v>269</v>
      </c>
      <c r="B36" s="521">
        <v>5968326.54</v>
      </c>
      <c r="C36" s="529">
        <v>6601114.1600000001</v>
      </c>
      <c r="D36" s="529">
        <v>293371.43</v>
      </c>
      <c r="E36" s="529">
        <v>2450.17</v>
      </c>
      <c r="F36" s="521">
        <f t="shared" si="8"/>
        <v>12865262.299999999</v>
      </c>
      <c r="G36" s="522">
        <v>12</v>
      </c>
      <c r="H36" s="523" t="s">
        <v>241</v>
      </c>
      <c r="I36" s="524">
        <f t="shared" si="9"/>
        <v>1072105.1916666667</v>
      </c>
      <c r="J36" s="525">
        <f>ตาราง3!C33</f>
        <v>5545993.7831502883</v>
      </c>
      <c r="K36" s="525">
        <f>ตาราง3!D33</f>
        <v>5773666.5720520224</v>
      </c>
      <c r="L36" s="525">
        <f>ตาราง3!E33</f>
        <v>166812.04638728322</v>
      </c>
      <c r="M36" s="525">
        <f>ตาราง3!F33</f>
        <v>1531.356358381503</v>
      </c>
      <c r="N36" s="525">
        <f t="shared" si="2"/>
        <v>11488003.757947974</v>
      </c>
      <c r="O36" s="526">
        <f>'1.1'!C31</f>
        <v>43</v>
      </c>
      <c r="P36" s="523" t="s">
        <v>241</v>
      </c>
      <c r="Q36" s="527">
        <f t="shared" si="3"/>
        <v>267162.87809181336</v>
      </c>
      <c r="R36" s="528">
        <f t="shared" si="4"/>
        <v>-10.705250386166048</v>
      </c>
      <c r="S36" s="528">
        <f>+(O36-G36)/G36*100</f>
        <v>258.33333333333337</v>
      </c>
      <c r="T36" s="528">
        <f t="shared" si="6"/>
        <v>-75.080534991488207</v>
      </c>
      <c r="U36" s="507"/>
      <c r="V36" s="507"/>
      <c r="W36" s="507"/>
    </row>
    <row r="37" spans="1:23">
      <c r="A37" s="520" t="s">
        <v>1484</v>
      </c>
      <c r="B37" s="521">
        <v>1097007.73</v>
      </c>
      <c r="C37" s="529">
        <v>910761.98</v>
      </c>
      <c r="D37" s="529">
        <v>36671.43</v>
      </c>
      <c r="E37" s="529">
        <v>306.27</v>
      </c>
      <c r="F37" s="521">
        <f>SUM(B37:E37)</f>
        <v>2044747.41</v>
      </c>
      <c r="G37" s="522">
        <v>350</v>
      </c>
      <c r="H37" s="523" t="s">
        <v>232</v>
      </c>
      <c r="I37" s="524">
        <f t="shared" si="9"/>
        <v>5842.1354571428565</v>
      </c>
      <c r="J37" s="525">
        <f>ตาราง3!C34</f>
        <v>161278.66263005781</v>
      </c>
      <c r="K37" s="525">
        <f>ตาราง3!D34</f>
        <v>913864.69841040473</v>
      </c>
      <c r="L37" s="525">
        <f>ตาราง3!E34</f>
        <v>33362.409277456645</v>
      </c>
      <c r="M37" s="525">
        <f>ตาราง3!F34</f>
        <v>306.27127167630056</v>
      </c>
      <c r="N37" s="525">
        <f t="shared" si="2"/>
        <v>1108812.0415895954</v>
      </c>
      <c r="O37" s="526">
        <f>'1.1'!C32</f>
        <v>385</v>
      </c>
      <c r="P37" s="523" t="s">
        <v>232</v>
      </c>
      <c r="Q37" s="527">
        <f t="shared" si="3"/>
        <v>2880.0312768560921</v>
      </c>
      <c r="R37" s="528">
        <f t="shared" si="4"/>
        <v>-45.772664331698778</v>
      </c>
      <c r="S37" s="528">
        <v>0</v>
      </c>
      <c r="T37" s="528">
        <f t="shared" si="6"/>
        <v>-50.702422119726151</v>
      </c>
      <c r="U37" s="507"/>
      <c r="V37" s="507"/>
      <c r="W37" s="507"/>
    </row>
    <row r="38" spans="1:23">
      <c r="A38" s="520" t="s">
        <v>273</v>
      </c>
      <c r="B38" s="521">
        <v>5548443.7699999996</v>
      </c>
      <c r="C38" s="529">
        <v>6688550.7000000002</v>
      </c>
      <c r="D38" s="529">
        <v>366714.29</v>
      </c>
      <c r="E38" s="529">
        <v>3062.71</v>
      </c>
      <c r="F38" s="521">
        <f t="shared" si="8"/>
        <v>12606771.469999999</v>
      </c>
      <c r="G38" s="522">
        <v>58</v>
      </c>
      <c r="H38" s="523" t="s">
        <v>232</v>
      </c>
      <c r="I38" s="524">
        <f t="shared" si="9"/>
        <v>217358.12879310342</v>
      </c>
      <c r="J38" s="525">
        <f>ตาราง3!C35</f>
        <v>6373096.3963005785</v>
      </c>
      <c r="K38" s="525">
        <f>ตาราง3!D35</f>
        <v>8203531.1641040472</v>
      </c>
      <c r="L38" s="525">
        <f>ตาราง3!E35</f>
        <v>333624.09277456644</v>
      </c>
      <c r="M38" s="525">
        <f>ตาราง3!F35</f>
        <v>3062.712716763006</v>
      </c>
      <c r="N38" s="525">
        <f t="shared" si="2"/>
        <v>14913314.365895955</v>
      </c>
      <c r="O38" s="526">
        <f>'1.1'!C33</f>
        <v>38</v>
      </c>
      <c r="P38" s="523" t="s">
        <v>232</v>
      </c>
      <c r="Q38" s="527">
        <f t="shared" si="3"/>
        <v>392455.64120778831</v>
      </c>
      <c r="R38" s="528">
        <f t="shared" si="4"/>
        <v>18.29606336074843</v>
      </c>
      <c r="S38" s="528">
        <v>0</v>
      </c>
      <c r="T38" s="528">
        <f t="shared" si="6"/>
        <v>80.557149340089723</v>
      </c>
      <c r="U38" s="507"/>
      <c r="V38" s="507"/>
      <c r="W38" s="507"/>
    </row>
    <row r="39" spans="1:23">
      <c r="A39" s="520" t="s">
        <v>434</v>
      </c>
      <c r="B39" s="521">
        <v>7267496.3099999996</v>
      </c>
      <c r="C39" s="529">
        <v>9249634.2599999998</v>
      </c>
      <c r="D39" s="529">
        <v>440057.15</v>
      </c>
      <c r="E39" s="529">
        <v>3675.26</v>
      </c>
      <c r="F39" s="521">
        <f t="shared" si="8"/>
        <v>16960862.98</v>
      </c>
      <c r="G39" s="522">
        <v>3924</v>
      </c>
      <c r="H39" s="523" t="s">
        <v>232</v>
      </c>
      <c r="I39" s="524">
        <f t="shared" si="9"/>
        <v>4322.3402089704387</v>
      </c>
      <c r="J39" s="525">
        <f>ตาราง3!C36</f>
        <v>7569296.4220809229</v>
      </c>
      <c r="K39" s="525">
        <f>ตาราง3!D36</f>
        <v>12502822.874566473</v>
      </c>
      <c r="L39" s="525">
        <f>ตาราง3!E36</f>
        <v>533798.54843930632</v>
      </c>
      <c r="M39" s="525">
        <f>ตาราง3!F36</f>
        <v>4900.3403468208089</v>
      </c>
      <c r="N39" s="525">
        <f t="shared" si="2"/>
        <v>20610818.185433522</v>
      </c>
      <c r="O39" s="526">
        <f>'1.1'!C34</f>
        <v>1364</v>
      </c>
      <c r="P39" s="523" t="s">
        <v>232</v>
      </c>
      <c r="Q39" s="527">
        <f t="shared" si="3"/>
        <v>15110.570517180002</v>
      </c>
      <c r="R39" s="528">
        <f t="shared" si="4"/>
        <v>21.519867295299154</v>
      </c>
      <c r="S39" s="528">
        <f t="shared" si="5"/>
        <v>-65.239551478083584</v>
      </c>
      <c r="T39" s="528">
        <f t="shared" si="6"/>
        <v>249.59234550348529</v>
      </c>
      <c r="U39" s="507"/>
      <c r="V39" s="507"/>
      <c r="W39" s="507"/>
    </row>
    <row r="40" spans="1:23">
      <c r="A40" s="520" t="s">
        <v>384</v>
      </c>
      <c r="B40" s="521">
        <v>4092657.65</v>
      </c>
      <c r="C40" s="529">
        <v>4105081.59</v>
      </c>
      <c r="D40" s="529">
        <v>220028.57</v>
      </c>
      <c r="E40" s="529">
        <v>1837.63</v>
      </c>
      <c r="F40" s="521">
        <f t="shared" si="8"/>
        <v>8419605.4400000013</v>
      </c>
      <c r="G40" s="522">
        <v>1065</v>
      </c>
      <c r="H40" s="523" t="s">
        <v>232</v>
      </c>
      <c r="I40" s="524">
        <f t="shared" si="9"/>
        <v>7905.7328075117384</v>
      </c>
      <c r="J40" s="525">
        <f>ตาราง3!C37</f>
        <v>3509040.4257803471</v>
      </c>
      <c r="K40" s="525">
        <f>ตาราง3!D37</f>
        <v>4404196.2904624287</v>
      </c>
      <c r="L40" s="525">
        <f>ตาราง3!E37</f>
        <v>200174.45566473986</v>
      </c>
      <c r="M40" s="525">
        <f>ตาราง3!F37</f>
        <v>1837.6276300578036</v>
      </c>
      <c r="N40" s="525">
        <f t="shared" si="2"/>
        <v>8115248.799537573</v>
      </c>
      <c r="O40" s="526">
        <f>'1.1'!C35</f>
        <v>755</v>
      </c>
      <c r="P40" s="523" t="s">
        <v>232</v>
      </c>
      <c r="Q40" s="527">
        <f t="shared" si="3"/>
        <v>10748.673906672282</v>
      </c>
      <c r="R40" s="528">
        <f t="shared" si="4"/>
        <v>-3.6148563330115895</v>
      </c>
      <c r="S40" s="528">
        <f t="shared" si="5"/>
        <v>-29.107981220657276</v>
      </c>
      <c r="T40" s="528">
        <f t="shared" si="6"/>
        <v>35.96050066932802</v>
      </c>
      <c r="U40" s="507"/>
      <c r="V40" s="507"/>
      <c r="W40" s="507"/>
    </row>
    <row r="41" spans="1:23">
      <c r="A41" s="520" t="s">
        <v>1482</v>
      </c>
      <c r="B41" s="521">
        <v>4132752.13</v>
      </c>
      <c r="C41" s="529">
        <v>4980600.2699999996</v>
      </c>
      <c r="D41" s="529">
        <v>220028.57</v>
      </c>
      <c r="E41" s="529">
        <v>1837.63</v>
      </c>
      <c r="F41" s="521">
        <f t="shared" si="8"/>
        <v>9335218.5999999996</v>
      </c>
      <c r="G41" s="522">
        <v>69</v>
      </c>
      <c r="H41" s="523" t="s">
        <v>241</v>
      </c>
      <c r="I41" s="524">
        <f t="shared" si="9"/>
        <v>135293.02318840579</v>
      </c>
      <c r="J41" s="525">
        <f>ตาราง3!C38</f>
        <v>4246943.7584104044</v>
      </c>
      <c r="K41" s="525">
        <f>ตาราง3!D38</f>
        <v>5366761.8388728313</v>
      </c>
      <c r="L41" s="525">
        <f>ตาราง3!E38</f>
        <v>233536.86494219652</v>
      </c>
      <c r="M41" s="525">
        <f>ตาราง3!F38</f>
        <v>2143.8989017341041</v>
      </c>
      <c r="N41" s="525">
        <f t="shared" si="2"/>
        <v>9849386.3611271679</v>
      </c>
      <c r="O41" s="526">
        <f>'1.1'!C36</f>
        <v>934</v>
      </c>
      <c r="P41" s="523" t="s">
        <v>241</v>
      </c>
      <c r="Q41" s="527">
        <f t="shared" si="3"/>
        <v>10545.381542962707</v>
      </c>
      <c r="R41" s="528">
        <f t="shared" si="4"/>
        <v>5.5078277559260185</v>
      </c>
      <c r="S41" s="528">
        <f t="shared" si="5"/>
        <v>1253.623188405797</v>
      </c>
      <c r="T41" s="528">
        <f t="shared" si="6"/>
        <v>-92.205524501971198</v>
      </c>
      <c r="U41" s="507"/>
      <c r="V41" s="507"/>
      <c r="W41" s="507"/>
    </row>
    <row r="42" spans="1:23">
      <c r="A42" s="520" t="s">
        <v>385</v>
      </c>
      <c r="B42" s="521">
        <v>4765249.04</v>
      </c>
      <c r="C42" s="529">
        <v>6481129.7199999997</v>
      </c>
      <c r="D42" s="529">
        <v>293371.43</v>
      </c>
      <c r="E42" s="529">
        <v>2450.17</v>
      </c>
      <c r="F42" s="521">
        <f t="shared" si="8"/>
        <v>11542200.359999999</v>
      </c>
      <c r="G42" s="522">
        <v>396</v>
      </c>
      <c r="H42" s="523" t="s">
        <v>232</v>
      </c>
      <c r="I42" s="524">
        <f t="shared" si="9"/>
        <v>29146.970606060604</v>
      </c>
      <c r="J42" s="525">
        <f>ตาราง3!C39</f>
        <v>4816140.7910404634</v>
      </c>
      <c r="K42" s="525">
        <f>ตาราง3!D39</f>
        <v>6327920.7272832384</v>
      </c>
      <c r="L42" s="525">
        <f>ตาราง3!E39</f>
        <v>266899.27421965316</v>
      </c>
      <c r="M42" s="525">
        <f>ตาราง3!F39</f>
        <v>2450.1701734104045</v>
      </c>
      <c r="N42" s="525">
        <f t="shared" si="2"/>
        <v>11413410.962716764</v>
      </c>
      <c r="O42" s="526">
        <f>'1.1'!C37</f>
        <v>433</v>
      </c>
      <c r="P42" s="523" t="s">
        <v>232</v>
      </c>
      <c r="Q42" s="527">
        <f t="shared" si="3"/>
        <v>26358.916773017929</v>
      </c>
      <c r="R42" s="528">
        <f t="shared" si="4"/>
        <v>-1.1158132181586524</v>
      </c>
      <c r="S42" s="528">
        <f t="shared" si="5"/>
        <v>9.3434343434343443</v>
      </c>
      <c r="T42" s="528">
        <f t="shared" si="6"/>
        <v>-9.5655012341589565</v>
      </c>
      <c r="U42" s="507"/>
      <c r="V42" s="507"/>
      <c r="W42" s="507"/>
    </row>
    <row r="43" spans="1:23">
      <c r="A43" s="520" t="s">
        <v>386</v>
      </c>
      <c r="B43" s="521">
        <v>671529.34</v>
      </c>
      <c r="C43" s="529">
        <v>1794260.79</v>
      </c>
      <c r="D43" s="529">
        <v>66008.570000000007</v>
      </c>
      <c r="E43" s="529">
        <v>551.29</v>
      </c>
      <c r="F43" s="521">
        <f t="shared" si="8"/>
        <v>2532349.9899999998</v>
      </c>
      <c r="G43" s="522">
        <v>578</v>
      </c>
      <c r="H43" s="523" t="s">
        <v>241</v>
      </c>
      <c r="I43" s="524">
        <f t="shared" si="9"/>
        <v>4381.2283564013833</v>
      </c>
      <c r="J43" s="525">
        <f>ตาราง3!C40</f>
        <v>207325.08915606936</v>
      </c>
      <c r="K43" s="525">
        <f>ตาราง3!D40</f>
        <v>1746869.0500924855</v>
      </c>
      <c r="L43" s="525">
        <f>ตาราง3!E40</f>
        <v>40034.891132947974</v>
      </c>
      <c r="M43" s="525">
        <f>ตาราง3!F40</f>
        <v>367.52552601156066</v>
      </c>
      <c r="N43" s="525">
        <f t="shared" si="2"/>
        <v>1994596.5559075144</v>
      </c>
      <c r="O43" s="526">
        <f>'1.1'!C38</f>
        <v>539</v>
      </c>
      <c r="P43" s="523" t="s">
        <v>241</v>
      </c>
      <c r="Q43" s="527">
        <f t="shared" si="3"/>
        <v>3700.5501964888949</v>
      </c>
      <c r="R43" s="528">
        <f t="shared" si="4"/>
        <v>-21.235351993840528</v>
      </c>
      <c r="S43" s="528">
        <f t="shared" si="5"/>
        <v>-6.7474048442906582</v>
      </c>
      <c r="T43" s="528">
        <f t="shared" si="6"/>
        <v>-15.536240171502453</v>
      </c>
      <c r="U43" s="507"/>
      <c r="V43" s="507"/>
      <c r="W43" s="507"/>
    </row>
    <row r="44" spans="1:23">
      <c r="A44" s="520" t="s">
        <v>387</v>
      </c>
      <c r="B44" s="521">
        <v>447686.23</v>
      </c>
      <c r="C44" s="529">
        <v>1196173.8600000001</v>
      </c>
      <c r="D44" s="529">
        <v>44005.71</v>
      </c>
      <c r="E44" s="529">
        <v>367.53</v>
      </c>
      <c r="F44" s="521">
        <f t="shared" si="8"/>
        <v>1688233.33</v>
      </c>
      <c r="G44" s="522">
        <v>51468</v>
      </c>
      <c r="H44" s="523" t="s">
        <v>291</v>
      </c>
      <c r="I44" s="524">
        <f t="shared" si="9"/>
        <v>32.801611292453565</v>
      </c>
      <c r="J44" s="525">
        <f>ตาราง3!C41</f>
        <v>138216.72610404625</v>
      </c>
      <c r="K44" s="525">
        <f>ตาราง3!D41</f>
        <v>1164579.3667283237</v>
      </c>
      <c r="L44" s="525">
        <f>ตาราง3!E41</f>
        <v>26689.927421965316</v>
      </c>
      <c r="M44" s="525">
        <f>ตาราง3!F41</f>
        <v>245.01701734104046</v>
      </c>
      <c r="N44" s="525">
        <f t="shared" si="2"/>
        <v>1329731.0372716764</v>
      </c>
      <c r="O44" s="526">
        <f>'1.1'!C39</f>
        <v>39170</v>
      </c>
      <c r="P44" s="523" t="s">
        <v>291</v>
      </c>
      <c r="Q44" s="527">
        <f t="shared" si="3"/>
        <v>33.947690509871748</v>
      </c>
      <c r="R44" s="528">
        <f t="shared" si="4"/>
        <v>-21.235352149357443</v>
      </c>
      <c r="S44" s="528">
        <f t="shared" si="5"/>
        <v>-23.894458692779981</v>
      </c>
      <c r="T44" s="528">
        <f t="shared" si="6"/>
        <v>3.4939723149571424</v>
      </c>
      <c r="U44" s="507"/>
      <c r="V44" s="507"/>
      <c r="W44" s="507"/>
    </row>
    <row r="45" spans="1:23">
      <c r="A45" s="520" t="s">
        <v>388</v>
      </c>
      <c r="B45" s="521">
        <v>6387947.7999999998</v>
      </c>
      <c r="C45" s="529">
        <v>7365153.9699999997</v>
      </c>
      <c r="D45" s="529">
        <v>403385.72</v>
      </c>
      <c r="E45" s="529">
        <v>3368.98</v>
      </c>
      <c r="F45" s="521">
        <f t="shared" si="8"/>
        <v>14159856.470000001</v>
      </c>
      <c r="G45" s="522">
        <v>8207</v>
      </c>
      <c r="H45" s="523" t="s">
        <v>287</v>
      </c>
      <c r="I45" s="524">
        <f t="shared" si="9"/>
        <v>1725.3389143414161</v>
      </c>
      <c r="J45" s="525">
        <f>ตาราง3!C42</f>
        <v>5605127.2163005779</v>
      </c>
      <c r="K45" s="525">
        <f>ตาราง3!D42</f>
        <v>7445862.1641040472</v>
      </c>
      <c r="L45" s="525">
        <f>ตาราง3!E42</f>
        <v>333624.09277456644</v>
      </c>
      <c r="M45" s="525">
        <f>ตาราง3!F42</f>
        <v>3062.712716763006</v>
      </c>
      <c r="N45" s="525">
        <f t="shared" si="2"/>
        <v>13387676.185895955</v>
      </c>
      <c r="O45" s="526">
        <f>'1.1'!C40</f>
        <v>4563</v>
      </c>
      <c r="P45" s="523" t="s">
        <v>287</v>
      </c>
      <c r="Q45" s="527">
        <f t="shared" si="3"/>
        <v>2933.963661165013</v>
      </c>
      <c r="R45" s="528">
        <f t="shared" si="4"/>
        <v>-5.4533058702963357</v>
      </c>
      <c r="S45" s="528">
        <f t="shared" si="5"/>
        <v>-44.401120994273178</v>
      </c>
      <c r="T45" s="528">
        <f t="shared" si="6"/>
        <v>70.051439562234904</v>
      </c>
      <c r="U45" s="507"/>
      <c r="V45" s="507"/>
      <c r="W45" s="507"/>
    </row>
    <row r="46" spans="1:23" ht="24">
      <c r="A46" s="907" t="s">
        <v>1548</v>
      </c>
      <c r="B46" s="521">
        <v>0</v>
      </c>
      <c r="C46" s="529">
        <v>0</v>
      </c>
      <c r="D46" s="529">
        <v>0</v>
      </c>
      <c r="E46" s="529">
        <v>0</v>
      </c>
      <c r="F46" s="521">
        <f>SUM(B46:E46)</f>
        <v>0</v>
      </c>
      <c r="G46" s="522">
        <v>0</v>
      </c>
      <c r="H46" s="523" t="s">
        <v>232</v>
      </c>
      <c r="I46" s="524">
        <v>0</v>
      </c>
      <c r="J46" s="525">
        <f>ตาราง3!C43</f>
        <v>143278.66263005781</v>
      </c>
      <c r="K46" s="525">
        <f>ตาราง3!D43</f>
        <v>986943.93841040472</v>
      </c>
      <c r="L46" s="525">
        <f>ตาราง3!E43</f>
        <v>33362.409277456645</v>
      </c>
      <c r="M46" s="525">
        <f>ตาราง3!F43</f>
        <v>306.27127167630056</v>
      </c>
      <c r="N46" s="525">
        <f t="shared" si="2"/>
        <v>1163891.2815895954</v>
      </c>
      <c r="O46" s="526">
        <f>'1.1'!C41</f>
        <v>521</v>
      </c>
      <c r="P46" s="523" t="s">
        <v>232</v>
      </c>
      <c r="Q46" s="527">
        <f t="shared" si="3"/>
        <v>2233.9563946057492</v>
      </c>
      <c r="R46" s="528">
        <f>N46*100</f>
        <v>116389128.15895954</v>
      </c>
      <c r="S46" s="528">
        <f>+O46*100</f>
        <v>52100</v>
      </c>
      <c r="T46" s="528">
        <f>+Q46*100</f>
        <v>223395.63946057492</v>
      </c>
      <c r="U46" s="507"/>
      <c r="V46" s="507"/>
      <c r="W46" s="507"/>
    </row>
    <row r="47" spans="1:23" ht="24">
      <c r="A47" s="907"/>
      <c r="B47" s="521"/>
      <c r="C47" s="529"/>
      <c r="D47" s="529"/>
      <c r="E47" s="529"/>
      <c r="F47" s="521"/>
      <c r="G47" s="522"/>
      <c r="H47" s="523"/>
      <c r="I47" s="524"/>
      <c r="J47" s="525"/>
      <c r="K47" s="525"/>
      <c r="L47" s="525"/>
      <c r="M47" s="525"/>
      <c r="N47" s="525"/>
      <c r="O47" s="526"/>
      <c r="P47" s="523"/>
      <c r="Q47" s="527"/>
      <c r="R47" s="528"/>
      <c r="S47" s="528"/>
      <c r="T47" s="528"/>
      <c r="U47" s="507"/>
      <c r="V47" s="507"/>
      <c r="W47" s="507"/>
    </row>
    <row r="48" spans="1:23" ht="24">
      <c r="A48" s="907"/>
      <c r="B48" s="521"/>
      <c r="C48" s="529"/>
      <c r="D48" s="529"/>
      <c r="E48" s="529"/>
      <c r="F48" s="521"/>
      <c r="G48" s="522"/>
      <c r="H48" s="523"/>
      <c r="I48" s="524"/>
      <c r="J48" s="525"/>
      <c r="K48" s="525"/>
      <c r="L48" s="525"/>
      <c r="M48" s="525"/>
      <c r="N48" s="525"/>
      <c r="O48" s="526"/>
      <c r="P48" s="523"/>
      <c r="Q48" s="527"/>
      <c r="R48" s="528"/>
      <c r="S48" s="528"/>
      <c r="T48" s="528"/>
      <c r="U48" s="507"/>
      <c r="V48" s="507"/>
      <c r="W48" s="507"/>
    </row>
    <row r="49" spans="1:23">
      <c r="A49" s="532" t="s">
        <v>360</v>
      </c>
      <c r="B49" s="533"/>
      <c r="C49" s="533"/>
      <c r="D49" s="533"/>
      <c r="E49" s="533"/>
      <c r="F49" s="521"/>
      <c r="G49" s="522"/>
      <c r="H49" s="523"/>
      <c r="I49" s="524"/>
      <c r="J49" s="525"/>
      <c r="K49" s="525"/>
      <c r="L49" s="525"/>
      <c r="M49" s="525"/>
      <c r="N49" s="525">
        <f t="shared" si="2"/>
        <v>0</v>
      </c>
      <c r="O49" s="526"/>
      <c r="P49" s="523"/>
      <c r="Q49" s="527"/>
      <c r="R49" s="528"/>
      <c r="S49" s="528"/>
      <c r="T49" s="528"/>
      <c r="U49" s="534"/>
      <c r="V49" s="535"/>
      <c r="W49" s="534"/>
    </row>
    <row r="50" spans="1:23">
      <c r="A50" s="536" t="s">
        <v>389</v>
      </c>
      <c r="B50" s="533">
        <v>1284845.06</v>
      </c>
      <c r="C50" s="533">
        <v>1178462.55</v>
      </c>
      <c r="D50" s="533">
        <v>36671.43</v>
      </c>
      <c r="E50" s="537">
        <v>306.27</v>
      </c>
      <c r="F50" s="521">
        <f t="shared" si="8"/>
        <v>2500285.3100000005</v>
      </c>
      <c r="G50" s="522">
        <v>1300</v>
      </c>
      <c r="H50" s="523" t="s">
        <v>241</v>
      </c>
      <c r="I50" s="524">
        <f t="shared" si="9"/>
        <v>1923.2963923076927</v>
      </c>
      <c r="J50" s="525">
        <f>ตาราง3!C47</f>
        <v>1370078.6626300577</v>
      </c>
      <c r="K50" s="525">
        <f>ตาราง3!D47</f>
        <v>1204035.8484104048</v>
      </c>
      <c r="L50" s="525">
        <f>ตาราง3!E47</f>
        <v>33362.409277456645</v>
      </c>
      <c r="M50" s="525">
        <f>ตาราง3!F47</f>
        <v>306.27127167630056</v>
      </c>
      <c r="N50" s="525">
        <f t="shared" si="2"/>
        <v>2607783.1915895953</v>
      </c>
      <c r="O50" s="526">
        <f>'1.1'!C81</f>
        <v>1500</v>
      </c>
      <c r="P50" s="523" t="s">
        <v>241</v>
      </c>
      <c r="Q50" s="527">
        <f t="shared" si="3"/>
        <v>1738.5221277263968</v>
      </c>
      <c r="R50" s="528">
        <f t="shared" si="4"/>
        <v>4.2994245960511899</v>
      </c>
      <c r="S50" s="528">
        <f t="shared" si="5"/>
        <v>15.384615384615385</v>
      </c>
      <c r="T50" s="528">
        <f t="shared" si="6"/>
        <v>-9.6071653500889731</v>
      </c>
      <c r="U50" s="534"/>
      <c r="V50" s="535"/>
      <c r="W50" s="534"/>
    </row>
    <row r="51" spans="1:23">
      <c r="A51" s="536" t="s">
        <v>390</v>
      </c>
      <c r="B51" s="533">
        <v>1040674.18</v>
      </c>
      <c r="C51" s="533">
        <v>877051.98</v>
      </c>
      <c r="D51" s="533">
        <v>36671.43</v>
      </c>
      <c r="E51" s="537">
        <v>306.27</v>
      </c>
      <c r="F51" s="521">
        <f t="shared" si="8"/>
        <v>1954703.86</v>
      </c>
      <c r="G51" s="522">
        <v>34468</v>
      </c>
      <c r="H51" s="523" t="s">
        <v>238</v>
      </c>
      <c r="I51" s="524">
        <f t="shared" si="9"/>
        <v>56.71068411280028</v>
      </c>
      <c r="J51" s="525">
        <f>ตาราง3!C48</f>
        <v>916318.66263005789</v>
      </c>
      <c r="K51" s="525">
        <f>ตาราง3!D48</f>
        <v>951278.69841040473</v>
      </c>
      <c r="L51" s="525">
        <f>ตาราง3!E48</f>
        <v>33362.409277456645</v>
      </c>
      <c r="M51" s="525">
        <f>ตาราง3!F48</f>
        <v>306.27127167630056</v>
      </c>
      <c r="N51" s="525">
        <f t="shared" si="2"/>
        <v>1901266.0415895956</v>
      </c>
      <c r="O51" s="526">
        <f>'1.1'!C82</f>
        <v>36773</v>
      </c>
      <c r="P51" s="523" t="s">
        <v>238</v>
      </c>
      <c r="Q51" s="527">
        <f t="shared" si="3"/>
        <v>51.702772185831876</v>
      </c>
      <c r="R51" s="528">
        <f t="shared" si="4"/>
        <v>-2.7338063582892036</v>
      </c>
      <c r="S51" s="528">
        <f t="shared" si="5"/>
        <v>6.6873621910177556</v>
      </c>
      <c r="T51" s="528">
        <f t="shared" si="6"/>
        <v>-8.8306321909420582</v>
      </c>
      <c r="U51" s="534"/>
      <c r="V51" s="535"/>
      <c r="W51" s="534"/>
    </row>
    <row r="52" spans="1:23">
      <c r="A52" s="536" t="s">
        <v>391</v>
      </c>
      <c r="B52" s="533">
        <v>1380981.97</v>
      </c>
      <c r="C52" s="533">
        <v>3445331.24</v>
      </c>
      <c r="D52" s="533">
        <v>143018.57</v>
      </c>
      <c r="E52" s="537">
        <v>1194.46</v>
      </c>
      <c r="F52" s="521">
        <f t="shared" si="8"/>
        <v>4970526.24</v>
      </c>
      <c r="G52" s="522">
        <v>207</v>
      </c>
      <c r="H52" s="523" t="s">
        <v>238</v>
      </c>
      <c r="I52" s="524">
        <f t="shared" si="9"/>
        <v>24012.204057971016</v>
      </c>
      <c r="J52" s="525">
        <f>ตาราง3!C49</f>
        <v>1254055.2152572256</v>
      </c>
      <c r="K52" s="525">
        <f>ตาราง3!D49</f>
        <v>3173276.7888005786</v>
      </c>
      <c r="L52" s="525">
        <f>ตาราง3!E49</f>
        <v>130113.39618208092</v>
      </c>
      <c r="M52" s="525">
        <f>ตาราง3!F49</f>
        <v>1194.4579595375724</v>
      </c>
      <c r="N52" s="525">
        <f t="shared" si="2"/>
        <v>4558639.8581994222</v>
      </c>
      <c r="O52" s="526">
        <f>'1.1'!C83</f>
        <v>216</v>
      </c>
      <c r="P52" s="523" t="s">
        <v>238</v>
      </c>
      <c r="Q52" s="527">
        <f t="shared" si="3"/>
        <v>21104.814158330657</v>
      </c>
      <c r="R52" s="528">
        <f t="shared" si="4"/>
        <v>-8.2865749402135336</v>
      </c>
      <c r="S52" s="528">
        <f t="shared" si="5"/>
        <v>4.3478260869565215</v>
      </c>
      <c r="T52" s="528">
        <f t="shared" si="6"/>
        <v>-12.107967651037974</v>
      </c>
      <c r="U52" s="534"/>
      <c r="V52" s="535"/>
      <c r="W52" s="534"/>
    </row>
    <row r="53" spans="1:23">
      <c r="A53" s="536" t="s">
        <v>392</v>
      </c>
      <c r="B53" s="533">
        <v>743605.68</v>
      </c>
      <c r="C53" s="533">
        <v>1855178.36</v>
      </c>
      <c r="D53" s="533">
        <v>77010</v>
      </c>
      <c r="E53" s="537">
        <v>643.16999999999996</v>
      </c>
      <c r="F53" s="521">
        <f t="shared" si="8"/>
        <v>2676437.21</v>
      </c>
      <c r="G53" s="522">
        <v>8477</v>
      </c>
      <c r="H53" s="523" t="s">
        <v>290</v>
      </c>
      <c r="I53" s="524">
        <f t="shared" si="9"/>
        <v>315.72929220243009</v>
      </c>
      <c r="J53" s="525">
        <f>ตาราง3!C50</f>
        <v>675260.50052312156</v>
      </c>
      <c r="K53" s="525">
        <f>ตาราง3!D50</f>
        <v>1708687.5016618499</v>
      </c>
      <c r="L53" s="525">
        <f>ตาราง3!E50</f>
        <v>70061.059482658966</v>
      </c>
      <c r="M53" s="525">
        <f>ตาราง3!F50</f>
        <v>643.16967052023119</v>
      </c>
      <c r="N53" s="525">
        <f t="shared" si="2"/>
        <v>2454652.2313381503</v>
      </c>
      <c r="O53" s="526">
        <f>'1.1'!C84</f>
        <v>7496</v>
      </c>
      <c r="P53" s="523" t="s">
        <v>290</v>
      </c>
      <c r="Q53" s="527">
        <f t="shared" si="3"/>
        <v>327.46161037061773</v>
      </c>
      <c r="R53" s="528">
        <f t="shared" si="4"/>
        <v>-8.2865750720096152</v>
      </c>
      <c r="S53" s="528">
        <f t="shared" si="5"/>
        <v>-11.572490267783413</v>
      </c>
      <c r="T53" s="528">
        <f t="shared" si="6"/>
        <v>3.715942251143888</v>
      </c>
      <c r="U53" s="534"/>
      <c r="V53" s="535"/>
      <c r="W53" s="534"/>
    </row>
    <row r="54" spans="1:23">
      <c r="A54" s="536" t="s">
        <v>393</v>
      </c>
      <c r="B54" s="533">
        <v>1266910.44</v>
      </c>
      <c r="C54" s="533">
        <v>2634122.5299999998</v>
      </c>
      <c r="D54" s="533">
        <v>102680</v>
      </c>
      <c r="E54" s="537">
        <v>857.56</v>
      </c>
      <c r="F54" s="521">
        <f t="shared" si="8"/>
        <v>4004570.53</v>
      </c>
      <c r="G54" s="522">
        <v>1958</v>
      </c>
      <c r="H54" s="523" t="s">
        <v>241</v>
      </c>
      <c r="I54" s="524">
        <f t="shared" si="9"/>
        <v>2045.2352042900918</v>
      </c>
      <c r="J54" s="525">
        <f>ตาราง3!C51</f>
        <v>609784.9575231215</v>
      </c>
      <c r="K54" s="525">
        <f>ตาราง3!D51</f>
        <v>1979553.5446618504</v>
      </c>
      <c r="L54" s="525">
        <f>ตาราง3!E51</f>
        <v>70061.059482658966</v>
      </c>
      <c r="M54" s="525">
        <f>ตาราง3!F51</f>
        <v>643.16967052023119</v>
      </c>
      <c r="N54" s="525">
        <f t="shared" si="2"/>
        <v>2660042.7313381513</v>
      </c>
      <c r="O54" s="526">
        <f>'1.1'!C85</f>
        <v>1990</v>
      </c>
      <c r="P54" s="523" t="s">
        <v>241</v>
      </c>
      <c r="Q54" s="527">
        <f t="shared" si="3"/>
        <v>1336.704890119674</v>
      </c>
      <c r="R54" s="528">
        <f t="shared" si="4"/>
        <v>-33.574831273151496</v>
      </c>
      <c r="S54" s="528">
        <f t="shared" si="5"/>
        <v>1.634320735444331</v>
      </c>
      <c r="T54" s="528">
        <f t="shared" si="6"/>
        <v>-34.642974689864637</v>
      </c>
      <c r="U54" s="534"/>
      <c r="V54" s="535"/>
      <c r="W54" s="534"/>
    </row>
    <row r="55" spans="1:23">
      <c r="A55" s="536" t="s">
        <v>394</v>
      </c>
      <c r="B55" s="533">
        <v>542961.62</v>
      </c>
      <c r="C55" s="533">
        <v>1128909.6599999999</v>
      </c>
      <c r="D55" s="533">
        <v>44005.71</v>
      </c>
      <c r="E55" s="537">
        <v>367.53</v>
      </c>
      <c r="F55" s="521">
        <f t="shared" si="8"/>
        <v>1716244.5199999998</v>
      </c>
      <c r="G55" s="522">
        <v>80</v>
      </c>
      <c r="H55" s="523" t="s">
        <v>241</v>
      </c>
      <c r="I55" s="524">
        <f t="shared" si="9"/>
        <v>21453.056499999999</v>
      </c>
      <c r="J55" s="525">
        <f>ตาราง3!C52</f>
        <v>261336.41036705207</v>
      </c>
      <c r="K55" s="525">
        <f>ตาราง3!D52</f>
        <v>848380.09056936437</v>
      </c>
      <c r="L55" s="525">
        <f>ตาราง3!E52</f>
        <v>30026.168349710981</v>
      </c>
      <c r="M55" s="525">
        <f>ตาราง3!F52</f>
        <v>275.64414450867054</v>
      </c>
      <c r="N55" s="525">
        <f t="shared" si="2"/>
        <v>1140018.3134306362</v>
      </c>
      <c r="O55" s="526">
        <f>'1.1'!C86</f>
        <v>115</v>
      </c>
      <c r="P55" s="523" t="s">
        <v>241</v>
      </c>
      <c r="Q55" s="527">
        <f t="shared" si="3"/>
        <v>9913.2027254837922</v>
      </c>
      <c r="R55" s="528">
        <f t="shared" si="4"/>
        <v>-33.57483154960714</v>
      </c>
      <c r="S55" s="528">
        <f t="shared" si="5"/>
        <v>43.75</v>
      </c>
      <c r="T55" s="528">
        <f t="shared" si="6"/>
        <v>-53.791187164944112</v>
      </c>
      <c r="U55" s="534"/>
      <c r="V55" s="535"/>
      <c r="W55" s="534"/>
    </row>
    <row r="56" spans="1:23">
      <c r="A56" s="536" t="s">
        <v>395</v>
      </c>
      <c r="B56" s="533">
        <v>2466698.35</v>
      </c>
      <c r="C56" s="533">
        <v>5966274.54</v>
      </c>
      <c r="D56" s="533">
        <v>256700</v>
      </c>
      <c r="E56" s="537">
        <v>2143.9</v>
      </c>
      <c r="F56" s="521">
        <f t="shared" si="8"/>
        <v>8691816.790000001</v>
      </c>
      <c r="G56" s="522">
        <v>132</v>
      </c>
      <c r="H56" s="523" t="s">
        <v>291</v>
      </c>
      <c r="I56" s="524">
        <f t="shared" si="9"/>
        <v>65847.096893939408</v>
      </c>
      <c r="J56" s="525">
        <f>ตาราง3!C53</f>
        <v>1853844.4257803471</v>
      </c>
      <c r="K56" s="525">
        <f>ตาราง3!D53</f>
        <v>5101904.2904624287</v>
      </c>
      <c r="L56" s="525">
        <f>ตาราง3!E53</f>
        <v>200174.45566473986</v>
      </c>
      <c r="M56" s="525">
        <f>ตาราง3!F53</f>
        <v>1837.6276300578036</v>
      </c>
      <c r="N56" s="525">
        <f t="shared" si="2"/>
        <v>7157760.799537573</v>
      </c>
      <c r="O56" s="526">
        <f>'1.1'!C87</f>
        <v>141</v>
      </c>
      <c r="P56" s="523" t="s">
        <v>291</v>
      </c>
      <c r="Q56" s="527">
        <f t="shared" si="3"/>
        <v>50764.260989628179</v>
      </c>
      <c r="R56" s="528">
        <f t="shared" si="4"/>
        <v>-17.649428508748258</v>
      </c>
      <c r="S56" s="528">
        <f t="shared" si="5"/>
        <v>6.8181818181818175</v>
      </c>
      <c r="T56" s="528">
        <f t="shared" si="6"/>
        <v>-22.905847965636671</v>
      </c>
      <c r="U56" s="534"/>
      <c r="V56" s="535"/>
      <c r="W56" s="534"/>
    </row>
    <row r="57" spans="1:23">
      <c r="A57" s="536" t="s">
        <v>396</v>
      </c>
      <c r="B57" s="533">
        <v>3391637.24</v>
      </c>
      <c r="C57" s="533">
        <v>7302071.3200000003</v>
      </c>
      <c r="D57" s="533">
        <v>330042.86</v>
      </c>
      <c r="E57" s="537">
        <v>2756.44</v>
      </c>
      <c r="F57" s="521">
        <f t="shared" si="8"/>
        <v>11026507.859999999</v>
      </c>
      <c r="G57" s="522">
        <v>3709</v>
      </c>
      <c r="H57" s="523" t="s">
        <v>290</v>
      </c>
      <c r="I57" s="524">
        <f t="shared" si="9"/>
        <v>2972.9058668104608</v>
      </c>
      <c r="J57" s="525">
        <f>ตาราง3!C54</f>
        <v>2815459.883670521</v>
      </c>
      <c r="K57" s="525">
        <f>ตาราง3!D54</f>
        <v>7502670.445693641</v>
      </c>
      <c r="L57" s="525">
        <f>ตาราง3!E54</f>
        <v>300261.6834971098</v>
      </c>
      <c r="M57" s="525">
        <f>ตาราง3!F54</f>
        <v>2756.4414450867057</v>
      </c>
      <c r="N57" s="525">
        <f t="shared" si="2"/>
        <v>10621148.454306358</v>
      </c>
      <c r="O57" s="526">
        <f>'1.1'!C88</f>
        <v>3707</v>
      </c>
      <c r="P57" s="523" t="s">
        <v>290</v>
      </c>
      <c r="Q57" s="527">
        <f t="shared" si="3"/>
        <v>2865.1600901824545</v>
      </c>
      <c r="R57" s="528">
        <f t="shared" si="4"/>
        <v>-3.6762265155963982</v>
      </c>
      <c r="S57" s="528">
        <f t="shared" si="5"/>
        <v>-5.3922890266918308E-2</v>
      </c>
      <c r="T57" s="528">
        <f t="shared" si="6"/>
        <v>-3.624257929956034</v>
      </c>
      <c r="U57" s="534"/>
      <c r="V57" s="535"/>
      <c r="W57" s="534"/>
    </row>
    <row r="58" spans="1:23">
      <c r="A58" s="536" t="s">
        <v>397</v>
      </c>
      <c r="B58" s="533">
        <v>2920889.04</v>
      </c>
      <c r="C58" s="533">
        <v>6856805.7599999998</v>
      </c>
      <c r="D58" s="533">
        <v>293371.43</v>
      </c>
      <c r="E58" s="537">
        <v>2450.17</v>
      </c>
      <c r="F58" s="521">
        <f t="shared" si="8"/>
        <v>10073516.4</v>
      </c>
      <c r="G58" s="522">
        <v>1591</v>
      </c>
      <c r="H58" s="523" t="s">
        <v>241</v>
      </c>
      <c r="I58" s="524">
        <f t="shared" si="9"/>
        <v>6331.5627906976742</v>
      </c>
      <c r="J58" s="525">
        <f>ตาราง3!C55</f>
        <v>2005225.578410405</v>
      </c>
      <c r="K58" s="525">
        <f>ตาราง3!D55</f>
        <v>5997709.0088728312</v>
      </c>
      <c r="L58" s="525">
        <f>ตาราง3!E55</f>
        <v>233536.86494219652</v>
      </c>
      <c r="M58" s="525">
        <f>ตาราง3!F55</f>
        <v>2143.8989017341041</v>
      </c>
      <c r="N58" s="525">
        <f t="shared" si="2"/>
        <v>8238615.3511271672</v>
      </c>
      <c r="O58" s="526">
        <f>'1.1'!C89</f>
        <v>8883</v>
      </c>
      <c r="P58" s="523" t="s">
        <v>241</v>
      </c>
      <c r="Q58" s="527">
        <f t="shared" si="3"/>
        <v>927.45866836960113</v>
      </c>
      <c r="R58" s="528">
        <f t="shared" si="4"/>
        <v>-18.215099633657552</v>
      </c>
      <c r="S58" s="528">
        <f t="shared" si="5"/>
        <v>458.32809553739781</v>
      </c>
      <c r="T58" s="528">
        <f t="shared" si="6"/>
        <v>-85.351820726910859</v>
      </c>
      <c r="U58" s="534"/>
      <c r="V58" s="535"/>
      <c r="W58" s="534"/>
    </row>
    <row r="59" spans="1:23">
      <c r="A59" s="536" t="s">
        <v>398</v>
      </c>
      <c r="B59" s="533">
        <v>595377.62</v>
      </c>
      <c r="C59" s="533">
        <v>1490677.3</v>
      </c>
      <c r="D59" s="533">
        <v>55007.14</v>
      </c>
      <c r="E59" s="537">
        <v>459.41</v>
      </c>
      <c r="F59" s="521">
        <f t="shared" si="8"/>
        <v>2141521.4700000002</v>
      </c>
      <c r="G59" s="522">
        <v>4</v>
      </c>
      <c r="H59" s="523" t="s">
        <v>292</v>
      </c>
      <c r="I59" s="524">
        <f t="shared" si="9"/>
        <v>535380.36750000005</v>
      </c>
      <c r="J59" s="525">
        <f>ตาราง3!C56</f>
        <v>511958.4489450868</v>
      </c>
      <c r="K59" s="525">
        <f>ตาราง3!D56</f>
        <v>1255515.0676156073</v>
      </c>
      <c r="L59" s="525">
        <f>ตาราง3!E56</f>
        <v>50043.613916184964</v>
      </c>
      <c r="M59" s="525">
        <f>ตาราง3!F56</f>
        <v>459.40690751445089</v>
      </c>
      <c r="N59" s="525">
        <f t="shared" si="2"/>
        <v>1817976.5373843936</v>
      </c>
      <c r="O59" s="526">
        <f>'1.1'!C90</f>
        <v>4</v>
      </c>
      <c r="P59" s="523" t="s">
        <v>292</v>
      </c>
      <c r="Q59" s="527">
        <f t="shared" si="3"/>
        <v>454494.13434609841</v>
      </c>
      <c r="R59" s="528">
        <f t="shared" si="4"/>
        <v>-15.108180662583157</v>
      </c>
      <c r="S59" s="528">
        <f t="shared" si="5"/>
        <v>0</v>
      </c>
      <c r="T59" s="528">
        <f t="shared" si="6"/>
        <v>-15.108180662583157</v>
      </c>
      <c r="U59" s="534"/>
      <c r="V59" s="535"/>
      <c r="W59" s="534"/>
    </row>
    <row r="60" spans="1:23">
      <c r="A60" s="536" t="s">
        <v>399</v>
      </c>
      <c r="B60" s="533">
        <v>595377.62</v>
      </c>
      <c r="C60" s="533">
        <v>1490677.3</v>
      </c>
      <c r="D60" s="533">
        <v>55007.14</v>
      </c>
      <c r="E60" s="537">
        <v>459.41</v>
      </c>
      <c r="F60" s="521">
        <f t="shared" si="8"/>
        <v>2141521.4700000002</v>
      </c>
      <c r="G60" s="522">
        <v>12</v>
      </c>
      <c r="H60" s="523" t="s">
        <v>241</v>
      </c>
      <c r="I60" s="524">
        <f t="shared" si="9"/>
        <v>178460.12250000003</v>
      </c>
      <c r="J60" s="525">
        <f>ตาราง3!C57</f>
        <v>511958.4489450868</v>
      </c>
      <c r="K60" s="525">
        <f>ตาราง3!D57</f>
        <v>1255515.0676156073</v>
      </c>
      <c r="L60" s="525">
        <f>ตาราง3!E57</f>
        <v>50043.613916184964</v>
      </c>
      <c r="M60" s="525">
        <f>ตาราง3!F57</f>
        <v>459.40690751445089</v>
      </c>
      <c r="N60" s="525">
        <f t="shared" si="2"/>
        <v>1817976.5373843936</v>
      </c>
      <c r="O60" s="526">
        <f>'1.1'!C91</f>
        <v>12</v>
      </c>
      <c r="P60" s="523" t="s">
        <v>241</v>
      </c>
      <c r="Q60" s="527">
        <f t="shared" si="3"/>
        <v>151498.04478203281</v>
      </c>
      <c r="R60" s="528">
        <f t="shared" si="4"/>
        <v>-15.108180662583157</v>
      </c>
      <c r="S60" s="528">
        <f t="shared" si="5"/>
        <v>0</v>
      </c>
      <c r="T60" s="528">
        <f t="shared" si="6"/>
        <v>-15.108180662583157</v>
      </c>
      <c r="U60" s="534"/>
      <c r="V60" s="535"/>
      <c r="W60" s="534"/>
    </row>
    <row r="61" spans="1:23">
      <c r="A61" s="536" t="s">
        <v>400</v>
      </c>
      <c r="B61" s="533">
        <v>663248.46</v>
      </c>
      <c r="C61" s="533">
        <v>2009756.62</v>
      </c>
      <c r="D61" s="533">
        <v>79577</v>
      </c>
      <c r="E61" s="537">
        <v>664.61</v>
      </c>
      <c r="F61" s="521">
        <f t="shared" si="8"/>
        <v>2753246.69</v>
      </c>
      <c r="G61" s="522">
        <v>1071</v>
      </c>
      <c r="H61" s="523" t="s">
        <v>232</v>
      </c>
      <c r="I61" s="524">
        <f t="shared" si="9"/>
        <v>2570.7252007469656</v>
      </c>
      <c r="J61" s="525">
        <f>ตาราง3!C58</f>
        <v>318461.16368208098</v>
      </c>
      <c r="K61" s="525">
        <f>ตาราง3!D58</f>
        <v>1248088.5897745662</v>
      </c>
      <c r="L61" s="525">
        <f>ตาราง3!E58</f>
        <v>46707.372988439303</v>
      </c>
      <c r="M61" s="525">
        <f>ตาราง3!F58</f>
        <v>428.77978034682087</v>
      </c>
      <c r="N61" s="525">
        <f t="shared" si="2"/>
        <v>1613685.9062254336</v>
      </c>
      <c r="O61" s="526">
        <f>'1.1'!C92</f>
        <v>1274</v>
      </c>
      <c r="P61" s="523" t="s">
        <v>232</v>
      </c>
      <c r="Q61" s="527">
        <f t="shared" si="3"/>
        <v>1266.629439737389</v>
      </c>
      <c r="R61" s="528">
        <f t="shared" si="4"/>
        <v>-41.389708663358689</v>
      </c>
      <c r="S61" s="528">
        <f t="shared" si="5"/>
        <v>18.954248366013072</v>
      </c>
      <c r="T61" s="528">
        <f t="shared" si="6"/>
        <v>-50.728711129087259</v>
      </c>
      <c r="U61" s="534"/>
      <c r="V61" s="535"/>
      <c r="W61" s="534"/>
    </row>
    <row r="62" spans="1:23">
      <c r="A62" s="536" t="s">
        <v>401</v>
      </c>
      <c r="B62" s="533">
        <v>1476262.69</v>
      </c>
      <c r="C62" s="533">
        <v>4473329.26</v>
      </c>
      <c r="D62" s="533">
        <v>177123</v>
      </c>
      <c r="E62" s="537">
        <v>1479.29</v>
      </c>
      <c r="F62" s="521">
        <f t="shared" si="8"/>
        <v>6128194.2399999993</v>
      </c>
      <c r="G62" s="522">
        <v>97252</v>
      </c>
      <c r="H62" s="523" t="s">
        <v>241</v>
      </c>
      <c r="I62" s="524">
        <f t="shared" si="9"/>
        <v>63.013554888331335</v>
      </c>
      <c r="J62" s="525">
        <f>ตาราง3!C59</f>
        <v>636922.32736416196</v>
      </c>
      <c r="K62" s="525">
        <f>ตาราง3!D59</f>
        <v>2496177.1795491325</v>
      </c>
      <c r="L62" s="525">
        <f>ตาราง3!E59</f>
        <v>93414.745976878607</v>
      </c>
      <c r="M62" s="525">
        <f>ตาราง3!F59</f>
        <v>857.55956069364174</v>
      </c>
      <c r="N62" s="525">
        <f t="shared" si="2"/>
        <v>3227371.8124508671</v>
      </c>
      <c r="O62" s="526">
        <f>'1.1'!C93</f>
        <v>67365</v>
      </c>
      <c r="P62" s="523" t="s">
        <v>241</v>
      </c>
      <c r="Q62" s="527">
        <f t="shared" si="3"/>
        <v>47.908733206425701</v>
      </c>
      <c r="R62" s="528">
        <f t="shared" si="4"/>
        <v>-47.33568020110819</v>
      </c>
      <c r="S62" s="528">
        <f t="shared" si="5"/>
        <v>-30.731501665775511</v>
      </c>
      <c r="T62" s="528">
        <f t="shared" si="6"/>
        <v>-23.970749957962934</v>
      </c>
      <c r="U62" s="534"/>
      <c r="V62" s="535"/>
      <c r="W62" s="534"/>
    </row>
    <row r="63" spans="1:23" ht="24">
      <c r="A63" s="252" t="s">
        <v>1533</v>
      </c>
      <c r="B63" s="533">
        <v>0</v>
      </c>
      <c r="C63" s="533">
        <v>0</v>
      </c>
      <c r="D63" s="533">
        <v>0</v>
      </c>
      <c r="E63" s="537">
        <v>0</v>
      </c>
      <c r="F63" s="521">
        <f t="shared" si="8"/>
        <v>0</v>
      </c>
      <c r="G63" s="522">
        <v>0</v>
      </c>
      <c r="H63" s="523" t="s">
        <v>232</v>
      </c>
      <c r="I63" s="524">
        <v>0</v>
      </c>
      <c r="J63" s="525">
        <f>ตาราง3!C60</f>
        <v>636922.32736416196</v>
      </c>
      <c r="K63" s="525">
        <f>ตาราง3!D60</f>
        <v>2496177.1795491325</v>
      </c>
      <c r="L63" s="525">
        <f>ตาราง3!E60</f>
        <v>93414.745976878607</v>
      </c>
      <c r="M63" s="525">
        <f>ตาราง3!F60</f>
        <v>857.55956069364174</v>
      </c>
      <c r="N63" s="525">
        <f t="shared" si="2"/>
        <v>3227371.8124508671</v>
      </c>
      <c r="O63" s="526">
        <f>'1.1'!C94</f>
        <v>28194</v>
      </c>
      <c r="P63" s="523" t="s">
        <v>232</v>
      </c>
      <c r="Q63" s="527">
        <f t="shared" si="3"/>
        <v>114.47016430626613</v>
      </c>
      <c r="R63" s="528">
        <f>+N63*100</f>
        <v>322737181.24508673</v>
      </c>
      <c r="S63" s="528">
        <f>+O63*100</f>
        <v>2819400</v>
      </c>
      <c r="T63" s="528">
        <f>+Q63*100</f>
        <v>11447.016430626612</v>
      </c>
      <c r="U63" s="534"/>
      <c r="V63" s="535"/>
      <c r="W63" s="534"/>
    </row>
    <row r="64" spans="1:23">
      <c r="A64" s="536" t="s">
        <v>402</v>
      </c>
      <c r="B64" s="533">
        <v>404774.18</v>
      </c>
      <c r="C64" s="533">
        <v>812496.2</v>
      </c>
      <c r="D64" s="533">
        <v>36671.43</v>
      </c>
      <c r="E64" s="537">
        <v>306.27</v>
      </c>
      <c r="F64" s="521">
        <f t="shared" si="8"/>
        <v>1254248.0799999998</v>
      </c>
      <c r="G64" s="522">
        <v>162</v>
      </c>
      <c r="H64" s="523" t="s">
        <v>232</v>
      </c>
      <c r="I64" s="524">
        <f t="shared" si="9"/>
        <v>7742.2720987654311</v>
      </c>
      <c r="J64" s="525">
        <f>ตาราง3!C61</f>
        <v>516919.31263005786</v>
      </c>
      <c r="K64" s="525">
        <f>ตาราง3!D61</f>
        <v>891764.69841040473</v>
      </c>
      <c r="L64" s="525">
        <f>ตาราง3!E61</f>
        <v>33362.409277456645</v>
      </c>
      <c r="M64" s="525">
        <f>ตาราง3!F61</f>
        <v>306.27127167630056</v>
      </c>
      <c r="N64" s="525">
        <f t="shared" si="2"/>
        <v>1442352.6915895955</v>
      </c>
      <c r="O64" s="526">
        <f>'1.1'!C95</f>
        <v>187</v>
      </c>
      <c r="P64" s="523" t="s">
        <v>232</v>
      </c>
      <c r="Q64" s="527">
        <f t="shared" si="3"/>
        <v>7713.1159978053238</v>
      </c>
      <c r="R64" s="528">
        <f t="shared" si="4"/>
        <v>14.997400800453741</v>
      </c>
      <c r="S64" s="528">
        <f t="shared" si="5"/>
        <v>15.432098765432098</v>
      </c>
      <c r="T64" s="528">
        <f t="shared" si="6"/>
        <v>-0.3765832637780388</v>
      </c>
      <c r="U64" s="534"/>
      <c r="V64" s="535"/>
      <c r="W64" s="534"/>
    </row>
    <row r="65" spans="1:23">
      <c r="A65" s="536" t="s">
        <v>403</v>
      </c>
      <c r="B65" s="533">
        <v>832754.87</v>
      </c>
      <c r="C65" s="533">
        <v>2263990.38</v>
      </c>
      <c r="D65" s="533">
        <v>73342.86</v>
      </c>
      <c r="E65" s="537">
        <v>612.54</v>
      </c>
      <c r="F65" s="521">
        <f t="shared" si="8"/>
        <v>3170700.65</v>
      </c>
      <c r="G65" s="522">
        <v>18</v>
      </c>
      <c r="H65" s="523" t="s">
        <v>241</v>
      </c>
      <c r="I65" s="524">
        <f t="shared" si="9"/>
        <v>176150.03611111111</v>
      </c>
      <c r="J65" s="525">
        <f>ตาราง3!C62</f>
        <v>497701.81526011566</v>
      </c>
      <c r="K65" s="525">
        <f>ตาราง3!D62</f>
        <v>1632442.5368208096</v>
      </c>
      <c r="L65" s="525">
        <f>ตาราง3!E62</f>
        <v>66724.81855491329</v>
      </c>
      <c r="M65" s="525">
        <f>ตาราง3!F62</f>
        <v>612.54254335260111</v>
      </c>
      <c r="N65" s="525">
        <f t="shared" si="2"/>
        <v>2197481.7131791911</v>
      </c>
      <c r="O65" s="526">
        <f>'1.1'!C96</f>
        <v>8</v>
      </c>
      <c r="P65" s="523" t="s">
        <v>241</v>
      </c>
      <c r="Q65" s="527">
        <f t="shared" si="3"/>
        <v>274685.21414739889</v>
      </c>
      <c r="R65" s="528">
        <f t="shared" si="4"/>
        <v>-30.6941286564157</v>
      </c>
      <c r="S65" s="528">
        <f t="shared" si="5"/>
        <v>-55.555555555555557</v>
      </c>
      <c r="T65" s="528">
        <f t="shared" si="6"/>
        <v>55.938210523064669</v>
      </c>
      <c r="U65" s="534"/>
      <c r="V65" s="535"/>
      <c r="W65" s="534"/>
    </row>
    <row r="66" spans="1:23">
      <c r="A66" s="536" t="s">
        <v>404</v>
      </c>
      <c r="B66" s="533">
        <v>948964.87</v>
      </c>
      <c r="C66" s="533">
        <v>2327972.38</v>
      </c>
      <c r="D66" s="533">
        <v>73342.86</v>
      </c>
      <c r="E66" s="537">
        <v>612.54</v>
      </c>
      <c r="F66" s="521">
        <f t="shared" si="8"/>
        <v>3350892.65</v>
      </c>
      <c r="G66" s="522">
        <v>2</v>
      </c>
      <c r="H66" s="523" t="s">
        <v>241</v>
      </c>
      <c r="I66" s="524">
        <f t="shared" si="9"/>
        <v>1675446.325</v>
      </c>
      <c r="J66" s="525">
        <f>ตาราง3!C63</f>
        <v>769761.81526011566</v>
      </c>
      <c r="K66" s="525">
        <f>ตาราง3!D63</f>
        <v>1603116.4068208095</v>
      </c>
      <c r="L66" s="525">
        <f>ตาราง3!E63</f>
        <v>66724.81855491329</v>
      </c>
      <c r="M66" s="525">
        <f>ตาราง3!F63</f>
        <v>612.54254335260111</v>
      </c>
      <c r="N66" s="525">
        <f t="shared" si="2"/>
        <v>2440215.5831791908</v>
      </c>
      <c r="O66" s="526">
        <f>'1.1'!C97</f>
        <v>2</v>
      </c>
      <c r="P66" s="523" t="s">
        <v>241</v>
      </c>
      <c r="Q66" s="527">
        <f t="shared" si="3"/>
        <v>1220107.7915895954</v>
      </c>
      <c r="R66" s="528">
        <f t="shared" si="4"/>
        <v>-27.177148358387704</v>
      </c>
      <c r="S66" s="528">
        <f t="shared" si="5"/>
        <v>0</v>
      </c>
      <c r="T66" s="528">
        <f t="shared" si="6"/>
        <v>-27.177148358387704</v>
      </c>
      <c r="U66" s="534"/>
      <c r="V66" s="535"/>
      <c r="W66" s="534"/>
    </row>
    <row r="67" spans="1:23">
      <c r="A67" s="536" t="s">
        <v>405</v>
      </c>
      <c r="B67" s="533">
        <v>576992.09</v>
      </c>
      <c r="C67" s="533">
        <v>3209798.46</v>
      </c>
      <c r="D67" s="533">
        <v>110014.29</v>
      </c>
      <c r="E67" s="537">
        <v>918.81</v>
      </c>
      <c r="F67" s="521">
        <f t="shared" si="8"/>
        <v>3897723.65</v>
      </c>
      <c r="G67" s="522">
        <v>40776</v>
      </c>
      <c r="H67" s="523" t="s">
        <v>232</v>
      </c>
      <c r="I67" s="524">
        <f t="shared" si="9"/>
        <v>95.588671031979587</v>
      </c>
      <c r="J67" s="525">
        <f>ตาราง3!C64</f>
        <v>531368.1205202312</v>
      </c>
      <c r="K67" s="525">
        <f>ตาราง3!D64</f>
        <v>3545676.0736416192</v>
      </c>
      <c r="L67" s="525">
        <f>ตาราง3!E64</f>
        <v>133449.63710982658</v>
      </c>
      <c r="M67" s="525">
        <f>ตาราง3!F64</f>
        <v>1225.0850867052022</v>
      </c>
      <c r="N67" s="525">
        <f t="shared" si="2"/>
        <v>4211718.9163583824</v>
      </c>
      <c r="O67" s="526">
        <f>'1.1'!C98</f>
        <v>49375</v>
      </c>
      <c r="P67" s="523" t="s">
        <v>232</v>
      </c>
      <c r="Q67" s="527">
        <f t="shared" si="3"/>
        <v>85.300636280676102</v>
      </c>
      <c r="R67" s="528">
        <f t="shared" si="4"/>
        <v>8.0558627176758044</v>
      </c>
      <c r="S67" s="528">
        <f t="shared" si="5"/>
        <v>21.088385324700802</v>
      </c>
      <c r="T67" s="528">
        <f t="shared" si="6"/>
        <v>-10.76281806225926</v>
      </c>
      <c r="U67" s="534"/>
      <c r="V67" s="535"/>
      <c r="W67" s="534"/>
    </row>
    <row r="68" spans="1:23">
      <c r="A68" s="536" t="s">
        <v>406</v>
      </c>
      <c r="B68" s="533">
        <v>769322.78</v>
      </c>
      <c r="C68" s="533">
        <v>4267550.71</v>
      </c>
      <c r="D68" s="533">
        <v>146685.72</v>
      </c>
      <c r="E68" s="537">
        <v>1225.0899999999999</v>
      </c>
      <c r="F68" s="521">
        <f t="shared" si="8"/>
        <v>5184784.3</v>
      </c>
      <c r="G68" s="522">
        <v>37014</v>
      </c>
      <c r="H68" s="523" t="s">
        <v>238</v>
      </c>
      <c r="I68" s="524">
        <f t="shared" si="9"/>
        <v>140.07630356081484</v>
      </c>
      <c r="J68" s="525">
        <f>ตาราง3!C65</f>
        <v>531368.1205202312</v>
      </c>
      <c r="K68" s="525">
        <f>ตาราง3!D65</f>
        <v>3736622.603641619</v>
      </c>
      <c r="L68" s="525">
        <f>ตาราง3!E65</f>
        <v>133449.63710982658</v>
      </c>
      <c r="M68" s="525">
        <f>ตาราง3!F65</f>
        <v>1225.0850867052022</v>
      </c>
      <c r="N68" s="525">
        <f t="shared" si="2"/>
        <v>4402665.4463583818</v>
      </c>
      <c r="O68" s="526">
        <f>'1.1'!C99</f>
        <v>35335</v>
      </c>
      <c r="P68" s="523" t="s">
        <v>238</v>
      </c>
      <c r="Q68" s="527">
        <f t="shared" si="3"/>
        <v>124.59786179024711</v>
      </c>
      <c r="R68" s="528">
        <f t="shared" si="4"/>
        <v>-15.084887015292384</v>
      </c>
      <c r="S68" s="528">
        <f t="shared" si="5"/>
        <v>-4.5361214675528183</v>
      </c>
      <c r="T68" s="528">
        <f t="shared" si="6"/>
        <v>-11.050007301090497</v>
      </c>
      <c r="U68" s="534"/>
      <c r="V68" s="535"/>
      <c r="W68" s="534"/>
    </row>
    <row r="69" spans="1:23">
      <c r="A69" s="536" t="s">
        <v>407</v>
      </c>
      <c r="B69" s="533">
        <v>978856.17</v>
      </c>
      <c r="C69" s="533">
        <v>2810241.03</v>
      </c>
      <c r="D69" s="533">
        <v>110014.29</v>
      </c>
      <c r="E69" s="537">
        <v>918.81</v>
      </c>
      <c r="F69" s="521">
        <f t="shared" si="8"/>
        <v>3900030.3</v>
      </c>
      <c r="G69" s="522">
        <v>74537</v>
      </c>
      <c r="H69" s="523" t="s">
        <v>232</v>
      </c>
      <c r="I69" s="524">
        <f t="shared" si="9"/>
        <v>52.323413874988262</v>
      </c>
      <c r="J69" s="525">
        <f>ตาราง3!C66</f>
        <v>548422.87231213879</v>
      </c>
      <c r="K69" s="525">
        <f>ตาราง3!D66</f>
        <v>2222674.7061849711</v>
      </c>
      <c r="L69" s="525">
        <f>ตาราง3!E66</f>
        <v>80069.782265895949</v>
      </c>
      <c r="M69" s="525">
        <f>ตาราง3!F66</f>
        <v>735.05105202312131</v>
      </c>
      <c r="N69" s="525">
        <f t="shared" si="2"/>
        <v>2851902.4118150291</v>
      </c>
      <c r="O69" s="526">
        <f>'1.1'!C100</f>
        <v>67049</v>
      </c>
      <c r="P69" s="523" t="s">
        <v>232</v>
      </c>
      <c r="Q69" s="527">
        <f t="shared" si="3"/>
        <v>42.534600244821384</v>
      </c>
      <c r="R69" s="528">
        <f t="shared" si="4"/>
        <v>-26.874865258994802</v>
      </c>
      <c r="S69" s="528">
        <f t="shared" si="5"/>
        <v>-10.046017414170144</v>
      </c>
      <c r="T69" s="528">
        <f t="shared" si="6"/>
        <v>-18.708285460032158</v>
      </c>
      <c r="U69" s="534"/>
      <c r="V69" s="535"/>
      <c r="W69" s="534"/>
    </row>
    <row r="70" spans="1:23">
      <c r="A70" s="536" t="s">
        <v>408</v>
      </c>
      <c r="B70" s="533">
        <v>652570.78</v>
      </c>
      <c r="C70" s="533">
        <v>1873494.02</v>
      </c>
      <c r="D70" s="533">
        <v>73342.86</v>
      </c>
      <c r="E70" s="537">
        <v>612.54</v>
      </c>
      <c r="F70" s="521">
        <f t="shared" si="8"/>
        <v>2600020.1999999997</v>
      </c>
      <c r="G70" s="522">
        <v>3471</v>
      </c>
      <c r="H70" s="523" t="s">
        <v>232</v>
      </c>
      <c r="I70" s="524">
        <f t="shared" si="9"/>
        <v>749.06949006050127</v>
      </c>
      <c r="J70" s="525">
        <f>ตาราง3!C67</f>
        <v>365615.24820809253</v>
      </c>
      <c r="K70" s="525">
        <f>ตาราง3!D67</f>
        <v>1481783.1374566474</v>
      </c>
      <c r="L70" s="525">
        <f>ตาราง3!E67</f>
        <v>53379.854843930632</v>
      </c>
      <c r="M70" s="525">
        <f>ตาราง3!F67</f>
        <v>490.03403468208091</v>
      </c>
      <c r="N70" s="525">
        <f t="shared" si="2"/>
        <v>1901268.2745433524</v>
      </c>
      <c r="O70" s="526">
        <f>'1.1'!C101</f>
        <v>2848</v>
      </c>
      <c r="P70" s="523" t="s">
        <v>232</v>
      </c>
      <c r="Q70" s="527">
        <f t="shared" si="3"/>
        <v>667.5801525784243</v>
      </c>
      <c r="R70" s="528">
        <f t="shared" si="4"/>
        <v>-26.874865258994813</v>
      </c>
      <c r="S70" s="528">
        <f t="shared" si="5"/>
        <v>-17.948717948717949</v>
      </c>
      <c r="T70" s="528">
        <f t="shared" si="6"/>
        <v>-10.878742034399931</v>
      </c>
      <c r="U70" s="534"/>
      <c r="V70" s="535"/>
      <c r="W70" s="534"/>
    </row>
    <row r="71" spans="1:23">
      <c r="A71" s="536" t="s">
        <v>1493</v>
      </c>
      <c r="B71" s="533">
        <v>991057.44</v>
      </c>
      <c r="C71" s="533">
        <v>2964897.79</v>
      </c>
      <c r="D71" s="533">
        <v>128350</v>
      </c>
      <c r="E71" s="537">
        <v>1071.95</v>
      </c>
      <c r="F71" s="521">
        <f t="shared" si="8"/>
        <v>4085377.18</v>
      </c>
      <c r="G71" s="522">
        <v>34849</v>
      </c>
      <c r="H71" s="523" t="s">
        <v>232</v>
      </c>
      <c r="I71" s="524">
        <f t="shared" si="9"/>
        <v>117.23082957904101</v>
      </c>
      <c r="J71" s="525">
        <f>ตาราง3!C68</f>
        <v>723466.4627052024</v>
      </c>
      <c r="K71" s="525">
        <f>ตาราง3!D68</f>
        <v>2947433.4904364161</v>
      </c>
      <c r="L71" s="525">
        <f>ตาราง3!E68</f>
        <v>116768.43247109825</v>
      </c>
      <c r="M71" s="525">
        <f>ตาราง3!F68</f>
        <v>1071.9494508670521</v>
      </c>
      <c r="N71" s="525">
        <f t="shared" si="2"/>
        <v>3788740.3350635841</v>
      </c>
      <c r="O71" s="526">
        <f>'1.1'!C102</f>
        <v>32576</v>
      </c>
      <c r="P71" s="523" t="s">
        <v>232</v>
      </c>
      <c r="Q71" s="527">
        <f t="shared" si="3"/>
        <v>116.30465173942731</v>
      </c>
      <c r="R71" s="528">
        <f t="shared" si="4"/>
        <v>-7.2609414471839786</v>
      </c>
      <c r="S71" s="528">
        <f t="shared" si="5"/>
        <v>-6.5224253206691731</v>
      </c>
      <c r="T71" s="528">
        <f t="shared" si="6"/>
        <v>-0.79004630687974431</v>
      </c>
      <c r="U71" s="534"/>
      <c r="V71" s="535"/>
      <c r="W71" s="534"/>
    </row>
    <row r="72" spans="1:23">
      <c r="A72" s="536" t="s">
        <v>1494</v>
      </c>
      <c r="B72" s="533">
        <v>991057.44</v>
      </c>
      <c r="C72" s="533">
        <v>2964897.79</v>
      </c>
      <c r="D72" s="533">
        <v>128350</v>
      </c>
      <c r="E72" s="537">
        <v>1071.95</v>
      </c>
      <c r="F72" s="521">
        <f t="shared" si="8"/>
        <v>4085377.18</v>
      </c>
      <c r="G72" s="522">
        <v>1317</v>
      </c>
      <c r="H72" s="523" t="s">
        <v>232</v>
      </c>
      <c r="I72" s="524">
        <f t="shared" si="9"/>
        <v>3102.0327866362945</v>
      </c>
      <c r="J72" s="525">
        <f>ตาราง3!C69</f>
        <v>723466.4627052024</v>
      </c>
      <c r="K72" s="525">
        <f>ตาราง3!D69</f>
        <v>2947433.4904364161</v>
      </c>
      <c r="L72" s="525">
        <f>ตาราง3!E69</f>
        <v>116768.43247109825</v>
      </c>
      <c r="M72" s="525">
        <f>ตาราง3!F69</f>
        <v>1071.9494508670521</v>
      </c>
      <c r="N72" s="525">
        <f t="shared" si="2"/>
        <v>3788740.3350635841</v>
      </c>
      <c r="O72" s="526">
        <f>'1.1'!C103</f>
        <v>0</v>
      </c>
      <c r="P72" s="523" t="s">
        <v>232</v>
      </c>
      <c r="Q72" s="527">
        <f>N72/N72</f>
        <v>1</v>
      </c>
      <c r="R72" s="528">
        <f t="shared" si="4"/>
        <v>-7.2609414471839786</v>
      </c>
      <c r="S72" s="528">
        <f t="shared" si="5"/>
        <v>-100</v>
      </c>
      <c r="T72" s="528">
        <f t="shared" si="6"/>
        <v>-99.967763074448854</v>
      </c>
      <c r="U72" s="534"/>
      <c r="V72" s="535"/>
      <c r="W72" s="534"/>
    </row>
    <row r="73" spans="1:23">
      <c r="A73" s="536" t="s">
        <v>1495</v>
      </c>
      <c r="B73" s="533">
        <v>849477.81</v>
      </c>
      <c r="C73" s="533">
        <v>2541340.96</v>
      </c>
      <c r="D73" s="533">
        <v>110014.29</v>
      </c>
      <c r="E73" s="537">
        <v>918.81</v>
      </c>
      <c r="F73" s="521">
        <f t="shared" si="8"/>
        <v>3501751.87</v>
      </c>
      <c r="G73" s="522">
        <v>190</v>
      </c>
      <c r="H73" s="523" t="s">
        <v>232</v>
      </c>
      <c r="I73" s="524">
        <f t="shared" si="9"/>
        <v>18430.273000000001</v>
      </c>
      <c r="J73" s="525">
        <f>ตาราง3!C70</f>
        <v>620114.11089017347</v>
      </c>
      <c r="K73" s="525">
        <f>ตาราง3!D70</f>
        <v>2526371.5632312144</v>
      </c>
      <c r="L73" s="525">
        <f>ตาราง3!E70</f>
        <v>100087.22783236993</v>
      </c>
      <c r="M73" s="525">
        <f>ตาราง3!F70</f>
        <v>918.81381502890179</v>
      </c>
      <c r="N73" s="525">
        <f t="shared" si="2"/>
        <v>3247491.7157687866</v>
      </c>
      <c r="O73" s="526">
        <f>'1.1'!C104</f>
        <v>266</v>
      </c>
      <c r="P73" s="523" t="s">
        <v>232</v>
      </c>
      <c r="Q73" s="527">
        <f t="shared" si="3"/>
        <v>12208.615472814987</v>
      </c>
      <c r="R73" s="528">
        <f t="shared" si="4"/>
        <v>-7.2609414850177121</v>
      </c>
      <c r="S73" s="528">
        <f t="shared" si="5"/>
        <v>40</v>
      </c>
      <c r="T73" s="528">
        <f t="shared" si="6"/>
        <v>-33.757815346441227</v>
      </c>
      <c r="U73" s="534"/>
      <c r="V73" s="535"/>
      <c r="W73" s="534"/>
    </row>
    <row r="74" spans="1:23">
      <c r="A74" s="538" t="s">
        <v>409</v>
      </c>
      <c r="B74" s="533">
        <v>1423584.06</v>
      </c>
      <c r="C74" s="533">
        <v>4681124.32</v>
      </c>
      <c r="D74" s="533">
        <v>183357.15</v>
      </c>
      <c r="E74" s="537">
        <v>1531.36</v>
      </c>
      <c r="F74" s="521">
        <f t="shared" si="8"/>
        <v>6289596.8900000015</v>
      </c>
      <c r="G74" s="522">
        <v>19172</v>
      </c>
      <c r="H74" s="523" t="s">
        <v>287</v>
      </c>
      <c r="I74" s="524">
        <f t="shared" si="9"/>
        <v>328.06159451283128</v>
      </c>
      <c r="J74" s="525">
        <f>ตาราง3!C71</f>
        <v>908028.12052023131</v>
      </c>
      <c r="K74" s="525">
        <f>ตาราง3!D71</f>
        <v>3399225.9736416191</v>
      </c>
      <c r="L74" s="525">
        <f>ตาราง3!E71</f>
        <v>133449.63710982658</v>
      </c>
      <c r="M74" s="525">
        <f>ตาราง3!F71</f>
        <v>1225.0850867052022</v>
      </c>
      <c r="N74" s="525">
        <f t="shared" si="2"/>
        <v>4441928.8163583819</v>
      </c>
      <c r="O74" s="526">
        <f>'1.1'!C105</f>
        <v>13720</v>
      </c>
      <c r="P74" s="523" t="s">
        <v>287</v>
      </c>
      <c r="Q74" s="527">
        <f t="shared" si="3"/>
        <v>323.75574463253514</v>
      </c>
      <c r="R74" s="528">
        <f t="shared" si="4"/>
        <v>-29.376573824298287</v>
      </c>
      <c r="S74" s="528">
        <f t="shared" ref="S74:S80" si="10">+(O74-G74)/G74*100</f>
        <v>-28.437304402253289</v>
      </c>
      <c r="T74" s="528">
        <f t="shared" si="6"/>
        <v>-1.3125126355281811</v>
      </c>
      <c r="U74" s="534"/>
      <c r="V74" s="535"/>
      <c r="W74" s="534"/>
    </row>
    <row r="75" spans="1:23">
      <c r="A75" s="538" t="s">
        <v>1506</v>
      </c>
      <c r="B75" s="533">
        <v>384661.39</v>
      </c>
      <c r="C75" s="533">
        <v>2675756.33</v>
      </c>
      <c r="D75" s="533">
        <v>73342.86</v>
      </c>
      <c r="E75" s="537">
        <v>612.54</v>
      </c>
      <c r="F75" s="521">
        <f t="shared" si="8"/>
        <v>3134373.12</v>
      </c>
      <c r="G75" s="522">
        <v>569</v>
      </c>
      <c r="H75" s="523" t="s">
        <v>241</v>
      </c>
      <c r="I75" s="524">
        <f t="shared" si="9"/>
        <v>5508.5643585237258</v>
      </c>
      <c r="J75" s="525">
        <f>ตาราง3!C72</f>
        <v>674054.96789017355</v>
      </c>
      <c r="K75" s="525">
        <f>ตาราง3!D72</f>
        <v>2509327.6252312143</v>
      </c>
      <c r="L75" s="525">
        <f>ตาราง3!E72</f>
        <v>100087.22783236993</v>
      </c>
      <c r="M75" s="525">
        <f>ตาราง3!F72</f>
        <v>918.81381502890179</v>
      </c>
      <c r="N75" s="525">
        <f t="shared" ref="N75:N80" si="11">SUM(J75:M75)</f>
        <v>3284388.6347687868</v>
      </c>
      <c r="O75" s="526">
        <f>'1.1'!C106</f>
        <v>732</v>
      </c>
      <c r="P75" s="523" t="s">
        <v>241</v>
      </c>
      <c r="Q75" s="527">
        <f t="shared" ref="Q75:Q80" si="12">N75/O75</f>
        <v>4486.8697196294906</v>
      </c>
      <c r="R75" s="528">
        <f t="shared" ref="R75:R80" si="13">+(N75-F75)/F75*100</f>
        <v>4.7861409291560904</v>
      </c>
      <c r="S75" s="528">
        <f t="shared" si="10"/>
        <v>28.646748681898064</v>
      </c>
      <c r="T75" s="528">
        <f>+(Q75-I75)/I75*100</f>
        <v>-18.547384988128655</v>
      </c>
      <c r="U75" s="534"/>
      <c r="V75" s="535"/>
      <c r="W75" s="534"/>
    </row>
    <row r="76" spans="1:23">
      <c r="A76" s="538" t="s">
        <v>1527</v>
      </c>
      <c r="B76" s="533">
        <v>1426955.57</v>
      </c>
      <c r="C76" s="533">
        <v>2935284.43</v>
      </c>
      <c r="D76" s="533">
        <v>110014.29</v>
      </c>
      <c r="E76" s="537">
        <v>918.81</v>
      </c>
      <c r="F76" s="521">
        <f>SUM(B76:E76)</f>
        <v>4473173.0999999996</v>
      </c>
      <c r="G76" s="522">
        <v>890</v>
      </c>
      <c r="H76" s="523" t="s">
        <v>241</v>
      </c>
      <c r="I76" s="524">
        <f>F76/G76</f>
        <v>5026.0371910112353</v>
      </c>
      <c r="J76" s="525">
        <f>ตาราง3!C73</f>
        <v>1177684.9678901734</v>
      </c>
      <c r="K76" s="525">
        <f>ตาราง3!D73</f>
        <v>2289021.1252312143</v>
      </c>
      <c r="L76" s="525">
        <f>ตาราง3!E73</f>
        <v>100087.22783236993</v>
      </c>
      <c r="M76" s="525">
        <f>ตาราง3!F73</f>
        <v>918.81381502890179</v>
      </c>
      <c r="N76" s="525">
        <f t="shared" si="11"/>
        <v>3567712.1347687868</v>
      </c>
      <c r="O76" s="526">
        <f>'1.1'!C107</f>
        <v>1140</v>
      </c>
      <c r="P76" s="523" t="s">
        <v>241</v>
      </c>
      <c r="Q76" s="527">
        <f t="shared" si="12"/>
        <v>3129.5720480427954</v>
      </c>
      <c r="R76" s="528">
        <f t="shared" si="13"/>
        <v>-20.242028309416707</v>
      </c>
      <c r="S76" s="528">
        <f t="shared" si="10"/>
        <v>28.08988764044944</v>
      </c>
      <c r="T76" s="528">
        <f>+(Q76-I76)/I76*100</f>
        <v>-37.7328115748955</v>
      </c>
      <c r="U76" s="534"/>
      <c r="V76" s="535"/>
      <c r="W76" s="534"/>
    </row>
    <row r="77" spans="1:23">
      <c r="A77" s="538" t="s">
        <v>1509</v>
      </c>
      <c r="B77" s="533">
        <v>1625790.36</v>
      </c>
      <c r="C77" s="533">
        <v>4238073.42</v>
      </c>
      <c r="D77" s="533">
        <v>154020</v>
      </c>
      <c r="E77" s="537">
        <v>1286.3399999999999</v>
      </c>
      <c r="F77" s="521">
        <f>SUM(B77:E77)</f>
        <v>6019170.1200000001</v>
      </c>
      <c r="G77" s="522">
        <v>136</v>
      </c>
      <c r="H77" s="523" t="s">
        <v>232</v>
      </c>
      <c r="I77" s="524">
        <f>F77/G77</f>
        <v>44258.603823529411</v>
      </c>
      <c r="J77" s="525">
        <f>ตาราง3!C74</f>
        <v>1361028.4980462429</v>
      </c>
      <c r="K77" s="525">
        <f>ตาราง3!D74</f>
        <v>4208716.0503237005</v>
      </c>
      <c r="L77" s="525">
        <f>ตาราง3!E74</f>
        <v>140122.11896531793</v>
      </c>
      <c r="M77" s="525">
        <f>ตาราง3!F74</f>
        <v>1286.3393410404624</v>
      </c>
      <c r="N77" s="525">
        <f t="shared" si="11"/>
        <v>5711153.0066763014</v>
      </c>
      <c r="O77" s="526">
        <f>'1.1'!C108</f>
        <v>21662</v>
      </c>
      <c r="P77" s="523" t="s">
        <v>232</v>
      </c>
      <c r="Q77" s="527">
        <f t="shared" si="12"/>
        <v>263.64846305402557</v>
      </c>
      <c r="R77" s="528">
        <f t="shared" si="13"/>
        <v>-5.1172687792997404</v>
      </c>
      <c r="S77" s="528">
        <f t="shared" si="10"/>
        <v>15827.941176470589</v>
      </c>
      <c r="T77" s="528">
        <f>+(Q77-I77)/I77*100</f>
        <v>-99.404300090203336</v>
      </c>
      <c r="U77" s="534"/>
      <c r="V77" s="535"/>
      <c r="W77" s="534"/>
    </row>
    <row r="78" spans="1:23">
      <c r="A78" s="538" t="s">
        <v>1529</v>
      </c>
      <c r="B78" s="533">
        <v>696767.3</v>
      </c>
      <c r="C78" s="533">
        <v>1816317.18</v>
      </c>
      <c r="D78" s="533">
        <v>66008.570000000007</v>
      </c>
      <c r="E78" s="537">
        <v>551.29</v>
      </c>
      <c r="F78" s="521">
        <f>SUM(B78:E78)</f>
        <v>2579644.34</v>
      </c>
      <c r="G78" s="522">
        <v>1</v>
      </c>
      <c r="H78" s="523" t="s">
        <v>241</v>
      </c>
      <c r="I78" s="524">
        <f>F78/G78</f>
        <v>2579644.34</v>
      </c>
      <c r="J78" s="525">
        <f>ตาราง3!C75</f>
        <v>583297.9277341041</v>
      </c>
      <c r="K78" s="525">
        <f>ตาราง3!D75</f>
        <v>1803735.4501387286</v>
      </c>
      <c r="L78" s="525">
        <f>ตาราง3!E75</f>
        <v>60052.336699421961</v>
      </c>
      <c r="M78" s="525">
        <f>ตาราง3!F75</f>
        <v>551.28828901734107</v>
      </c>
      <c r="N78" s="525">
        <f t="shared" si="11"/>
        <v>2447637.0028612721</v>
      </c>
      <c r="O78" s="526">
        <f>'1.1'!C109</f>
        <v>2</v>
      </c>
      <c r="P78" s="523" t="s">
        <v>241</v>
      </c>
      <c r="Q78" s="527">
        <f t="shared" si="12"/>
        <v>1223818.501430636</v>
      </c>
      <c r="R78" s="528">
        <f t="shared" si="13"/>
        <v>-5.1172688843892251</v>
      </c>
      <c r="S78" s="528">
        <f t="shared" si="10"/>
        <v>100</v>
      </c>
      <c r="T78" s="528">
        <f>+(Q79-I78)/I78*100</f>
        <v>-84.72603579802535</v>
      </c>
      <c r="U78" s="534"/>
      <c r="V78" s="535"/>
      <c r="W78" s="534"/>
    </row>
    <row r="79" spans="1:23">
      <c r="A79" s="539" t="s">
        <v>528</v>
      </c>
      <c r="B79" s="540">
        <v>2196732.81</v>
      </c>
      <c r="C79" s="540">
        <v>3458684.99</v>
      </c>
      <c r="D79" s="540">
        <v>146685.72</v>
      </c>
      <c r="E79" s="541">
        <v>1225.0899999999999</v>
      </c>
      <c r="F79" s="521">
        <f>SUM(B79:E79)</f>
        <v>5803328.6100000003</v>
      </c>
      <c r="G79" s="522">
        <v>12</v>
      </c>
      <c r="H79" s="542" t="s">
        <v>241</v>
      </c>
      <c r="I79" s="524">
        <f>F79/G79</f>
        <v>483610.71750000003</v>
      </c>
      <c r="J79" s="525">
        <f>ตาราง3!C76</f>
        <v>1707035.8705202311</v>
      </c>
      <c r="K79" s="525">
        <f>ตาราง3!D76</f>
        <v>2886456.8436416183</v>
      </c>
      <c r="L79" s="525">
        <f>ตาราง3!E76</f>
        <v>133449.63710982658</v>
      </c>
      <c r="M79" s="525">
        <f>ตาราง3!F76</f>
        <v>1225.0850867052022</v>
      </c>
      <c r="N79" s="525">
        <f t="shared" si="11"/>
        <v>4728167.4363583811</v>
      </c>
      <c r="O79" s="526">
        <f>'1.1'!C111</f>
        <v>12</v>
      </c>
      <c r="P79" s="523" t="s">
        <v>241</v>
      </c>
      <c r="Q79" s="527">
        <f t="shared" si="12"/>
        <v>394013.95302986511</v>
      </c>
      <c r="R79" s="528">
        <f>+(N79-F79)/N79</f>
        <v>-0.2273949025945885</v>
      </c>
      <c r="S79" s="528">
        <f>+(O79-G79)/O79</f>
        <v>0</v>
      </c>
      <c r="T79" s="528">
        <f>+(Q80-I79)/Q79</f>
        <v>-0.7898273246636669</v>
      </c>
      <c r="U79" s="534"/>
      <c r="V79" s="535"/>
      <c r="W79" s="534"/>
    </row>
    <row r="80" spans="1:23">
      <c r="A80" s="543" t="s">
        <v>529</v>
      </c>
      <c r="B80" s="544">
        <f>384661.39-0.02</f>
        <v>384661.37</v>
      </c>
      <c r="C80" s="544">
        <f>2404284.33+0.01</f>
        <v>2404284.34</v>
      </c>
      <c r="D80" s="544">
        <f>73342.86+0.02</f>
        <v>73342.880000000005</v>
      </c>
      <c r="E80" s="545">
        <f>612.54-360.01</f>
        <v>252.52999999999997</v>
      </c>
      <c r="F80" s="521">
        <f>SUM(B80:E80)</f>
        <v>2862541.1199999996</v>
      </c>
      <c r="G80" s="522">
        <v>12</v>
      </c>
      <c r="H80" s="546" t="s">
        <v>241</v>
      </c>
      <c r="I80" s="524">
        <f>F80/G80</f>
        <v>238545.09333333329</v>
      </c>
      <c r="J80" s="525">
        <f>ตาราง3!C77</f>
        <v>272641.82526011561</v>
      </c>
      <c r="K80" s="525">
        <f>ตาราง3!D77</f>
        <v>1728913.5868208096</v>
      </c>
      <c r="L80" s="525">
        <f>ตาราง3!E77</f>
        <v>66724.81855491329</v>
      </c>
      <c r="M80" s="525">
        <f>ตาราง3!F77</f>
        <v>612.54254335260111</v>
      </c>
      <c r="N80" s="525">
        <f t="shared" si="11"/>
        <v>2068892.7731791912</v>
      </c>
      <c r="O80" s="526">
        <f>'1.1'!C111</f>
        <v>12</v>
      </c>
      <c r="P80" s="546" t="s">
        <v>241</v>
      </c>
      <c r="Q80" s="527">
        <f t="shared" si="12"/>
        <v>172407.73109826594</v>
      </c>
      <c r="R80" s="528">
        <f t="shared" si="13"/>
        <v>-27.72530816328705</v>
      </c>
      <c r="S80" s="547">
        <f t="shared" si="10"/>
        <v>0</v>
      </c>
      <c r="T80" s="528">
        <f>+(Q80-I80)/I80*100</f>
        <v>-27.725308163287043</v>
      </c>
      <c r="U80" s="534"/>
      <c r="V80" s="535"/>
      <c r="W80" s="534"/>
    </row>
    <row r="81" spans="1:23" ht="22.5" thickBot="1">
      <c r="A81" s="548" t="s">
        <v>361</v>
      </c>
      <c r="B81" s="549">
        <f>SUM(B8:B80)</f>
        <v>168099975.03000009</v>
      </c>
      <c r="C81" s="549">
        <f>SUM(C8:C80)</f>
        <v>282694757.73000002</v>
      </c>
      <c r="D81" s="549">
        <f>SUM(D8:D80)</f>
        <v>12688314.459999997</v>
      </c>
      <c r="E81" s="549">
        <f>SUM(E8:E80)</f>
        <v>105969.85999999994</v>
      </c>
      <c r="F81" s="549">
        <f>SUM(F8:F80)</f>
        <v>463589017.0800001</v>
      </c>
      <c r="G81" s="550"/>
      <c r="H81" s="551"/>
      <c r="I81" s="549">
        <f>SUM(I8:I80)</f>
        <v>7696743.8406730033</v>
      </c>
      <c r="J81" s="552">
        <f>SUM(J8:J80)</f>
        <v>151778459.31999996</v>
      </c>
      <c r="K81" s="552">
        <f t="shared" ref="K81:L81" si="14">SUM(K8:K80)</f>
        <v>296774317.85000002</v>
      </c>
      <c r="L81" s="552">
        <f t="shared" si="14"/>
        <v>11543393.609999999</v>
      </c>
      <c r="M81" s="552">
        <f>SUM(M8:M80)</f>
        <v>105969.86000000003</v>
      </c>
      <c r="N81" s="552">
        <f>SUM(N8:N80)</f>
        <v>460202140.63999999</v>
      </c>
      <c r="O81" s="553"/>
      <c r="P81" s="554"/>
      <c r="Q81" s="555">
        <f>SUM(Q8:Q80)</f>
        <v>4933429.3051860435</v>
      </c>
      <c r="R81" s="556"/>
      <c r="S81" s="557"/>
      <c r="T81" s="557"/>
      <c r="U81" s="558"/>
      <c r="V81" s="558"/>
      <c r="W81" s="558"/>
    </row>
    <row r="82" spans="1:23" ht="24.75" thickTop="1">
      <c r="A82" s="264" t="s">
        <v>421</v>
      </c>
      <c r="E82" s="500">
        <f>D81+E81</f>
        <v>12794284.319999997</v>
      </c>
      <c r="F82" s="559">
        <f>F81-463589017.08</f>
        <v>0</v>
      </c>
      <c r="J82" s="500">
        <f>151778459.32-J81</f>
        <v>0</v>
      </c>
      <c r="K82" s="500">
        <f>296774317.85-K81</f>
        <v>0</v>
      </c>
      <c r="M82" s="500">
        <f>SUM(L81:M81)</f>
        <v>11649363.469999999</v>
      </c>
    </row>
    <row r="83" spans="1:23" ht="24">
      <c r="A83" s="264" t="s">
        <v>470</v>
      </c>
    </row>
    <row r="84" spans="1:23" ht="24">
      <c r="A84" s="264" t="s">
        <v>353</v>
      </c>
    </row>
    <row r="85" spans="1:23" ht="24">
      <c r="A85" s="264" t="s">
        <v>1585</v>
      </c>
    </row>
    <row r="86" spans="1:23">
      <c r="A86" s="493" t="s">
        <v>1586</v>
      </c>
    </row>
    <row r="87" spans="1:23">
      <c r="A87" s="493" t="s">
        <v>1528</v>
      </c>
    </row>
    <row r="88" spans="1:23" ht="24">
      <c r="A88" s="264" t="s">
        <v>360</v>
      </c>
    </row>
    <row r="89" spans="1:23">
      <c r="A89" s="558" t="s">
        <v>1581</v>
      </c>
    </row>
    <row r="90" spans="1:23">
      <c r="A90" s="493" t="s">
        <v>1582</v>
      </c>
    </row>
    <row r="91" spans="1:23" ht="24">
      <c r="A91" s="264" t="s">
        <v>353</v>
      </c>
    </row>
    <row r="92" spans="1:23">
      <c r="A92" s="558" t="s">
        <v>1583</v>
      </c>
    </row>
    <row r="93" spans="1:23">
      <c r="A93" s="493" t="s">
        <v>1580</v>
      </c>
    </row>
    <row r="94" spans="1:23">
      <c r="A94" s="558" t="s">
        <v>360</v>
      </c>
    </row>
    <row r="95" spans="1:23">
      <c r="A95" s="558" t="s">
        <v>1584</v>
      </c>
    </row>
    <row r="96" spans="1:23">
      <c r="A96" s="493" t="s">
        <v>1579</v>
      </c>
    </row>
  </sheetData>
  <mergeCells count="21">
    <mergeCell ref="A1:T1"/>
    <mergeCell ref="N4:N6"/>
    <mergeCell ref="O4:O6"/>
    <mergeCell ref="P4:P6"/>
    <mergeCell ref="Q4:Q6"/>
    <mergeCell ref="E4:E6"/>
    <mergeCell ref="I4:I6"/>
    <mergeCell ref="B4:B6"/>
    <mergeCell ref="A4:A6"/>
    <mergeCell ref="D4:D6"/>
    <mergeCell ref="B3:I3"/>
    <mergeCell ref="M4:M6"/>
    <mergeCell ref="G4:G6"/>
    <mergeCell ref="L4:L6"/>
    <mergeCell ref="F4:F6"/>
    <mergeCell ref="C4:C6"/>
    <mergeCell ref="R3:T3"/>
    <mergeCell ref="H4:H6"/>
    <mergeCell ref="K4:K6"/>
    <mergeCell ref="J4:J6"/>
    <mergeCell ref="J3:Q3"/>
  </mergeCells>
  <pageMargins left="0.118110236220472" right="0.118110236220472" top="0.35433070866141703" bottom="0.35433070866141703" header="0.31496062992126" footer="0.31496062992126"/>
  <pageSetup paperSize="9" scale="5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19"/>
  <sheetViews>
    <sheetView workbookViewId="0">
      <selection activeCell="A16" sqref="A16"/>
    </sheetView>
  </sheetViews>
  <sheetFormatPr defaultRowHeight="24"/>
  <cols>
    <col min="1" max="1" width="44.5703125" style="239" customWidth="1"/>
    <col min="2" max="2" width="19" style="599" customWidth="1"/>
    <col min="3" max="3" width="18.5703125" style="599" customWidth="1"/>
    <col min="4" max="4" width="16.7109375" style="599" customWidth="1"/>
    <col min="5" max="5" width="15.7109375" style="599" customWidth="1"/>
    <col min="6" max="6" width="17.85546875" style="605" bestFit="1" customWidth="1"/>
    <col min="7" max="7" width="8.42578125" style="598" bestFit="1" customWidth="1"/>
    <col min="8" max="8" width="8.5703125" style="599" bestFit="1" customWidth="1"/>
    <col min="9" max="9" width="17.5703125" style="599" customWidth="1"/>
    <col min="10" max="10" width="17.42578125" style="239" customWidth="1"/>
    <col min="11" max="11" width="18.85546875" style="239" customWidth="1"/>
    <col min="12" max="12" width="17.140625" style="239" customWidth="1"/>
    <col min="13" max="13" width="17.28515625" style="239" customWidth="1"/>
    <col min="14" max="14" width="18.7109375" style="239" customWidth="1"/>
    <col min="15" max="15" width="11.28515625" style="600" customWidth="1"/>
    <col min="16" max="16" width="7.7109375" style="239" bestFit="1" customWidth="1"/>
    <col min="17" max="17" width="17.5703125" style="239" customWidth="1"/>
    <col min="18" max="18" width="10.85546875" style="239" customWidth="1"/>
    <col min="19" max="19" width="11.7109375" style="239" customWidth="1"/>
    <col min="20" max="20" width="14.140625" style="239" customWidth="1"/>
    <col min="21" max="16384" width="9.140625" style="239"/>
  </cols>
  <sheetData>
    <row r="1" spans="1:20" ht="30.75">
      <c r="A1" s="977" t="s">
        <v>1556</v>
      </c>
      <c r="B1" s="977"/>
      <c r="C1" s="977"/>
      <c r="D1" s="977"/>
      <c r="E1" s="977"/>
      <c r="F1" s="977"/>
      <c r="G1" s="977"/>
      <c r="H1" s="977"/>
      <c r="I1" s="977"/>
      <c r="J1" s="977"/>
      <c r="K1" s="977"/>
      <c r="L1" s="977"/>
      <c r="M1" s="977"/>
      <c r="N1" s="977"/>
      <c r="O1" s="977"/>
      <c r="P1" s="977"/>
      <c r="Q1" s="977"/>
      <c r="R1" s="977"/>
      <c r="S1" s="977"/>
      <c r="T1" s="977"/>
    </row>
    <row r="2" spans="1:20" ht="30.75">
      <c r="A2" s="563" t="s">
        <v>435</v>
      </c>
      <c r="B2" s="564"/>
      <c r="C2" s="564"/>
      <c r="D2" s="564"/>
      <c r="E2" s="564"/>
      <c r="F2" s="565"/>
      <c r="G2" s="566"/>
      <c r="H2" s="564"/>
      <c r="I2" s="564"/>
      <c r="J2" s="563"/>
      <c r="K2" s="567"/>
      <c r="L2" s="567"/>
      <c r="M2" s="567"/>
      <c r="N2" s="567"/>
      <c r="O2" s="568"/>
      <c r="P2" s="567"/>
      <c r="Q2" s="567"/>
      <c r="R2" s="567"/>
      <c r="S2" s="567"/>
      <c r="T2" s="567"/>
    </row>
    <row r="3" spans="1:20">
      <c r="A3" s="963" t="s">
        <v>1523</v>
      </c>
      <c r="B3" s="999"/>
      <c r="C3" s="999"/>
      <c r="D3" s="999"/>
      <c r="E3" s="999"/>
      <c r="F3" s="999"/>
      <c r="G3" s="999"/>
      <c r="H3" s="999"/>
      <c r="I3" s="964"/>
      <c r="J3" s="1000" t="s">
        <v>1551</v>
      </c>
      <c r="K3" s="1000"/>
      <c r="L3" s="1000"/>
      <c r="M3" s="1000"/>
      <c r="N3" s="1000"/>
      <c r="O3" s="1000"/>
      <c r="P3" s="1000"/>
      <c r="Q3" s="1001"/>
      <c r="R3" s="1002" t="s">
        <v>422</v>
      </c>
      <c r="S3" s="1002"/>
      <c r="T3" s="1002"/>
    </row>
    <row r="4" spans="1:20">
      <c r="A4" s="1003" t="s">
        <v>230</v>
      </c>
      <c r="B4" s="989" t="s">
        <v>3</v>
      </c>
      <c r="C4" s="989" t="s">
        <v>2</v>
      </c>
      <c r="D4" s="993" t="s">
        <v>0</v>
      </c>
      <c r="E4" s="993" t="s">
        <v>303</v>
      </c>
      <c r="F4" s="993" t="s">
        <v>351</v>
      </c>
      <c r="G4" s="995" t="s">
        <v>228</v>
      </c>
      <c r="H4" s="993" t="s">
        <v>229</v>
      </c>
      <c r="I4" s="993" t="s">
        <v>352</v>
      </c>
      <c r="J4" s="997" t="s">
        <v>3</v>
      </c>
      <c r="K4" s="997" t="s">
        <v>2</v>
      </c>
      <c r="L4" s="991" t="s">
        <v>0</v>
      </c>
      <c r="M4" s="991" t="s">
        <v>303</v>
      </c>
      <c r="N4" s="991" t="s">
        <v>351</v>
      </c>
      <c r="O4" s="1007" t="s">
        <v>228</v>
      </c>
      <c r="P4" s="991" t="s">
        <v>229</v>
      </c>
      <c r="Q4" s="991" t="s">
        <v>352</v>
      </c>
      <c r="R4" s="569" t="s">
        <v>436</v>
      </c>
      <c r="S4" s="569" t="s">
        <v>437</v>
      </c>
      <c r="T4" s="569" t="s">
        <v>425</v>
      </c>
    </row>
    <row r="5" spans="1:20">
      <c r="A5" s="1004"/>
      <c r="B5" s="990"/>
      <c r="C5" s="990"/>
      <c r="D5" s="1006"/>
      <c r="E5" s="1006"/>
      <c r="F5" s="994"/>
      <c r="G5" s="996"/>
      <c r="H5" s="1006"/>
      <c r="I5" s="1006"/>
      <c r="J5" s="998"/>
      <c r="K5" s="998"/>
      <c r="L5" s="992"/>
      <c r="M5" s="992"/>
      <c r="N5" s="992"/>
      <c r="O5" s="1008"/>
      <c r="P5" s="992"/>
      <c r="Q5" s="992"/>
      <c r="R5" s="570" t="s">
        <v>438</v>
      </c>
      <c r="S5" s="570" t="s">
        <v>438</v>
      </c>
      <c r="T5" s="570" t="s">
        <v>438</v>
      </c>
    </row>
    <row r="6" spans="1:20">
      <c r="A6" s="1005"/>
      <c r="B6" s="990"/>
      <c r="C6" s="990"/>
      <c r="D6" s="1006"/>
      <c r="E6" s="1006"/>
      <c r="F6" s="994"/>
      <c r="G6" s="996"/>
      <c r="H6" s="1006"/>
      <c r="I6" s="1006"/>
      <c r="J6" s="998"/>
      <c r="K6" s="998"/>
      <c r="L6" s="992"/>
      <c r="M6" s="992"/>
      <c r="N6" s="992"/>
      <c r="O6" s="1009"/>
      <c r="P6" s="992"/>
      <c r="Q6" s="992"/>
      <c r="R6" s="571" t="s">
        <v>429</v>
      </c>
      <c r="S6" s="571" t="s">
        <v>429</v>
      </c>
      <c r="T6" s="571" t="s">
        <v>429</v>
      </c>
    </row>
    <row r="7" spans="1:20">
      <c r="A7" s="572" t="s">
        <v>233</v>
      </c>
      <c r="B7" s="573">
        <v>73061243.090000004</v>
      </c>
      <c r="C7" s="573">
        <v>121260624.92</v>
      </c>
      <c r="D7" s="574">
        <v>5600533.9900000002</v>
      </c>
      <c r="E7" s="574">
        <v>46774.36</v>
      </c>
      <c r="F7" s="574">
        <f>SUM(B7:E7)</f>
        <v>199969176.36000001</v>
      </c>
      <c r="G7" s="575">
        <v>74537</v>
      </c>
      <c r="H7" s="576" t="s">
        <v>232</v>
      </c>
      <c r="I7" s="574">
        <f>F7/G7</f>
        <v>2682.8176121926026</v>
      </c>
      <c r="J7" s="577">
        <f>ตาราง4!B4</f>
        <v>65143835.858516067</v>
      </c>
      <c r="K7" s="577">
        <f>ตาราง4!C4</f>
        <v>127425158.84189254</v>
      </c>
      <c r="L7" s="577">
        <f>ตาราง4!D4</f>
        <v>4911346.9945529457</v>
      </c>
      <c r="M7" s="577">
        <f>ตาราง4!E4</f>
        <v>45086.806446011564</v>
      </c>
      <c r="N7" s="577">
        <f>SUM(J7:M7)</f>
        <v>197525428.50140756</v>
      </c>
      <c r="O7" s="578">
        <f>ตาราง4!G4</f>
        <v>67049</v>
      </c>
      <c r="P7" s="579" t="s">
        <v>232</v>
      </c>
      <c r="Q7" s="580">
        <f>N7/O7</f>
        <v>2945.9861966831359</v>
      </c>
      <c r="R7" s="581">
        <f>+(N7-F7)/F7*100</f>
        <v>-1.222062271333771</v>
      </c>
      <c r="S7" s="581">
        <f t="shared" ref="R7:S10" si="0">+(O7-G7)/G7*100</f>
        <v>-10.046017414170144</v>
      </c>
      <c r="T7" s="581">
        <f>+(Q7-I7)/I7*100</f>
        <v>9.8094101997284806</v>
      </c>
    </row>
    <row r="8" spans="1:20">
      <c r="A8" s="582" t="s">
        <v>236</v>
      </c>
      <c r="B8" s="583">
        <v>67383261.459999993</v>
      </c>
      <c r="C8" s="583">
        <v>104720493.34</v>
      </c>
      <c r="D8" s="583">
        <v>4811951.58</v>
      </c>
      <c r="E8" s="583">
        <v>40188.300000000003</v>
      </c>
      <c r="F8" s="584">
        <f>SUM(B8:E8)</f>
        <v>176955894.68000004</v>
      </c>
      <c r="G8" s="585">
        <v>3471</v>
      </c>
      <c r="H8" s="586" t="s">
        <v>232</v>
      </c>
      <c r="I8" s="584">
        <f>F8/G8</f>
        <v>50981.24306539903</v>
      </c>
      <c r="J8" s="587">
        <f>ตาราง4!B5</f>
        <v>63010829.423037685</v>
      </c>
      <c r="K8" s="587">
        <f>ตาราง4!C5</f>
        <v>116835977.02018386</v>
      </c>
      <c r="L8" s="587">
        <f>ตาราง4!D5</f>
        <v>4644981.5188817307</v>
      </c>
      <c r="M8" s="587">
        <f>ตาราง4!E5</f>
        <v>42641.536612947973</v>
      </c>
      <c r="N8" s="587">
        <f>SUM(J8:M8)</f>
        <v>184534429.49871624</v>
      </c>
      <c r="O8" s="588">
        <f>ตาราง4!G5</f>
        <v>2848</v>
      </c>
      <c r="P8" s="487" t="s">
        <v>232</v>
      </c>
      <c r="Q8" s="589">
        <f>N8/O8</f>
        <v>64794.392380167221</v>
      </c>
      <c r="R8" s="590">
        <f t="shared" si="0"/>
        <v>4.2827252702832634</v>
      </c>
      <c r="S8" s="590">
        <f t="shared" si="0"/>
        <v>-17.948717948717949</v>
      </c>
      <c r="T8" s="590">
        <f>+(Q8-I8)/I8*100</f>
        <v>27.094571423157738</v>
      </c>
    </row>
    <row r="9" spans="1:20">
      <c r="A9" s="582" t="s">
        <v>240</v>
      </c>
      <c r="B9" s="583">
        <v>14896605.529999999</v>
      </c>
      <c r="C9" s="583">
        <v>29494325.93</v>
      </c>
      <c r="D9" s="584">
        <v>1184853.8700000001</v>
      </c>
      <c r="E9" s="584">
        <v>9895.6200000000008</v>
      </c>
      <c r="F9" s="584">
        <f t="shared" ref="F9:F10" si="1">SUM(B9:E9)</f>
        <v>45585680.949999996</v>
      </c>
      <c r="G9" s="585">
        <v>4</v>
      </c>
      <c r="H9" s="586" t="s">
        <v>238</v>
      </c>
      <c r="I9" s="584">
        <f t="shared" ref="I9:I10" si="2">F9/G9</f>
        <v>11396420.237499999</v>
      </c>
      <c r="J9" s="587">
        <f>ตาราง4!B6</f>
        <v>12511180.734414453</v>
      </c>
      <c r="K9" s="587">
        <f>ตาราง4!C6</f>
        <v>26264555.044701159</v>
      </c>
      <c r="L9" s="587">
        <f>ตาราง4!D6</f>
        <v>952830.40896416211</v>
      </c>
      <c r="M9" s="587">
        <f>ตาราง4!E6</f>
        <v>8747.1075190751435</v>
      </c>
      <c r="N9" s="587">
        <f>SUM(J9:M9)</f>
        <v>39737313.29559885</v>
      </c>
      <c r="O9" s="588">
        <f>ตาราง4!G6</f>
        <v>4</v>
      </c>
      <c r="P9" s="487" t="s">
        <v>238</v>
      </c>
      <c r="Q9" s="589">
        <f>N9/O9</f>
        <v>9934328.3238997124</v>
      </c>
      <c r="R9" s="590">
        <f t="shared" si="0"/>
        <v>-12.829396276466385</v>
      </c>
      <c r="S9" s="590">
        <f t="shared" si="0"/>
        <v>0</v>
      </c>
      <c r="T9" s="590">
        <f>+(Q9-I9)/I9*100</f>
        <v>-12.829396276466385</v>
      </c>
    </row>
    <row r="10" spans="1:20">
      <c r="A10" s="432" t="s">
        <v>1488</v>
      </c>
      <c r="B10" s="591">
        <v>12758864.949999999</v>
      </c>
      <c r="C10" s="591">
        <f>27219313.55-0.01</f>
        <v>27219313.539999999</v>
      </c>
      <c r="D10" s="591">
        <f>1090975.01+0.01</f>
        <v>1090975.02</v>
      </c>
      <c r="E10" s="591">
        <f>9111.57+0.01</f>
        <v>9111.58</v>
      </c>
      <c r="F10" s="584">
        <f t="shared" si="1"/>
        <v>41078265.089999996</v>
      </c>
      <c r="G10" s="592">
        <v>1</v>
      </c>
      <c r="H10" s="593"/>
      <c r="I10" s="584">
        <f t="shared" si="2"/>
        <v>41078265.089999996</v>
      </c>
      <c r="J10" s="587">
        <f>ตาราง4!B7</f>
        <v>11112613.304031795</v>
      </c>
      <c r="K10" s="587">
        <f>ตาราง4!C7</f>
        <v>26248626.943222545</v>
      </c>
      <c r="L10" s="587">
        <f>ตาราง4!D7</f>
        <v>1034234.6876011562</v>
      </c>
      <c r="M10" s="587">
        <f>ตาราง4!E7</f>
        <v>9494.4094219653161</v>
      </c>
      <c r="N10" s="587">
        <f>SUM(J10:M10)</f>
        <v>38404969.344277464</v>
      </c>
      <c r="O10" s="588">
        <f>ตาราง4!G7</f>
        <v>1</v>
      </c>
      <c r="P10" s="594" t="s">
        <v>241</v>
      </c>
      <c r="Q10" s="589">
        <f>N10/O10</f>
        <v>38404969.344277464</v>
      </c>
      <c r="R10" s="590">
        <f t="shared" si="0"/>
        <v>-6.5078107360802679</v>
      </c>
      <c r="S10" s="590">
        <f t="shared" si="0"/>
        <v>0</v>
      </c>
      <c r="T10" s="590">
        <f>+(Q10-I10)/I10*100</f>
        <v>-6.5078107360802679</v>
      </c>
    </row>
    <row r="11" spans="1:20" s="264" customFormat="1">
      <c r="A11" s="391" t="s">
        <v>361</v>
      </c>
      <c r="B11" s="595">
        <f>SUM(B7:B10)</f>
        <v>168099975.03</v>
      </c>
      <c r="C11" s="595">
        <f>SUM(C7:C10)</f>
        <v>282694757.73000002</v>
      </c>
      <c r="D11" s="595">
        <f>SUM(D7:D10)</f>
        <v>12688314.460000001</v>
      </c>
      <c r="E11" s="595">
        <f>SUM(E7:E10)</f>
        <v>105969.86</v>
      </c>
      <c r="F11" s="595">
        <f>SUM(F7:F10)</f>
        <v>463589017.08000004</v>
      </c>
      <c r="G11" s="595"/>
      <c r="H11" s="595">
        <f t="shared" ref="H11:N11" si="3">SUM(H7:H10)</f>
        <v>0</v>
      </c>
      <c r="I11" s="595">
        <f t="shared" si="3"/>
        <v>52528349.388177589</v>
      </c>
      <c r="J11" s="595">
        <f t="shared" si="3"/>
        <v>151778459.31999999</v>
      </c>
      <c r="K11" s="595">
        <f t="shared" si="3"/>
        <v>296774317.85000008</v>
      </c>
      <c r="L11" s="595">
        <f t="shared" si="3"/>
        <v>11543393.609999996</v>
      </c>
      <c r="M11" s="595">
        <f t="shared" si="3"/>
        <v>105969.86</v>
      </c>
      <c r="N11" s="595">
        <f t="shared" si="3"/>
        <v>460202140.6400001</v>
      </c>
      <c r="O11" s="595"/>
      <c r="P11" s="595">
        <f>SUM(P7:P10)</f>
        <v>0</v>
      </c>
      <c r="Q11" s="595">
        <f>SUM(Q7:Q10)</f>
        <v>48407038.046754025</v>
      </c>
      <c r="R11" s="595">
        <f>SUM(R7:R10)</f>
        <v>-16.27654401359716</v>
      </c>
      <c r="S11" s="595">
        <f>SUM(S7:S10)</f>
        <v>-27.994735362888093</v>
      </c>
      <c r="T11" s="595">
        <f>SUM(T7:T10)</f>
        <v>17.566774610339571</v>
      </c>
    </row>
    <row r="12" spans="1:20">
      <c r="B12" s="596"/>
      <c r="C12" s="596"/>
      <c r="D12" s="596"/>
      <c r="E12" s="596">
        <f>D11+E11</f>
        <v>12794284.32</v>
      </c>
      <c r="F12" s="597"/>
      <c r="M12" s="273">
        <f>L11+M11</f>
        <v>11649363.469999995</v>
      </c>
    </row>
    <row r="13" spans="1:20" s="599" customFormat="1">
      <c r="A13" s="264" t="s">
        <v>471</v>
      </c>
      <c r="B13" s="239"/>
      <c r="C13" s="239"/>
      <c r="D13" s="239"/>
      <c r="E13" s="239"/>
      <c r="F13" s="239"/>
      <c r="G13" s="601"/>
      <c r="H13" s="239"/>
      <c r="I13" s="239"/>
      <c r="O13" s="602"/>
    </row>
    <row r="14" spans="1:20" s="599" customFormat="1">
      <c r="A14" s="239" t="s">
        <v>1573</v>
      </c>
      <c r="B14" s="239"/>
      <c r="C14" s="239"/>
      <c r="D14" s="239"/>
      <c r="E14" s="239"/>
      <c r="F14" s="239"/>
      <c r="G14" s="601"/>
      <c r="H14" s="239"/>
      <c r="I14" s="239"/>
      <c r="O14" s="602"/>
    </row>
    <row r="15" spans="1:20" s="599" customFormat="1">
      <c r="A15" s="239" t="s">
        <v>1578</v>
      </c>
      <c r="B15" s="239"/>
      <c r="C15" s="239"/>
      <c r="D15" s="239"/>
      <c r="E15" s="239"/>
      <c r="F15" s="239"/>
      <c r="G15" s="601"/>
      <c r="H15" s="239"/>
      <c r="I15" s="239"/>
      <c r="O15" s="602"/>
    </row>
    <row r="16" spans="1:20">
      <c r="B16" s="239"/>
      <c r="C16" s="239"/>
      <c r="D16" s="239"/>
      <c r="E16" s="239"/>
      <c r="F16" s="239"/>
      <c r="G16" s="601"/>
      <c r="H16" s="239"/>
      <c r="I16" s="239"/>
    </row>
    <row r="17" spans="1:2">
      <c r="A17" s="603"/>
      <c r="B17" s="604"/>
    </row>
    <row r="18" spans="1:2">
      <c r="A18" s="603"/>
      <c r="B18" s="604"/>
    </row>
    <row r="19" spans="1:2">
      <c r="A19" s="603"/>
      <c r="B19" s="604"/>
    </row>
  </sheetData>
  <mergeCells count="21">
    <mergeCell ref="A1:T1"/>
    <mergeCell ref="A3:I3"/>
    <mergeCell ref="J3:Q3"/>
    <mergeCell ref="R3:T3"/>
    <mergeCell ref="A4:A6"/>
    <mergeCell ref="M4:M6"/>
    <mergeCell ref="C4:C6"/>
    <mergeCell ref="L4:L6"/>
    <mergeCell ref="P4:P6"/>
    <mergeCell ref="E4:E6"/>
    <mergeCell ref="H4:H6"/>
    <mergeCell ref="O4:O6"/>
    <mergeCell ref="D4:D6"/>
    <mergeCell ref="K4:K6"/>
    <mergeCell ref="I4:I6"/>
    <mergeCell ref="Q4:Q6"/>
    <mergeCell ref="B4:B6"/>
    <mergeCell ref="N4:N6"/>
    <mergeCell ref="F4:F6"/>
    <mergeCell ref="G4:G6"/>
    <mergeCell ref="J4:J6"/>
  </mergeCells>
  <pageMargins left="0.23622047244094499" right="0.196850393700787" top="0.74803149606299202" bottom="0.74803149606299202" header="0.31496062992126" footer="0.31496062992126"/>
  <pageSetup paperSize="9" scale="4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8"/>
  <sheetViews>
    <sheetView topLeftCell="A4" workbookViewId="0">
      <selection activeCell="A15" sqref="A15"/>
    </sheetView>
  </sheetViews>
  <sheetFormatPr defaultRowHeight="24"/>
  <cols>
    <col min="1" max="1" width="44.5703125" style="239" customWidth="1"/>
    <col min="2" max="2" width="18.42578125" style="599" bestFit="1" customWidth="1"/>
    <col min="3" max="3" width="19.140625" style="599" customWidth="1"/>
    <col min="4" max="4" width="17.5703125" style="599" customWidth="1"/>
    <col min="5" max="5" width="15.85546875" style="599" customWidth="1"/>
    <col min="6" max="6" width="17.85546875" style="605" bestFit="1" customWidth="1"/>
    <col min="7" max="7" width="10.42578125" style="598" customWidth="1"/>
    <col min="8" max="8" width="8.5703125" style="599" bestFit="1" customWidth="1"/>
    <col min="9" max="9" width="17.28515625" style="599" customWidth="1"/>
    <col min="10" max="10" width="18.28515625" style="239" customWidth="1"/>
    <col min="11" max="11" width="18.5703125" style="239" customWidth="1"/>
    <col min="12" max="12" width="17.85546875" style="239" customWidth="1"/>
    <col min="13" max="13" width="16.140625" style="239" customWidth="1"/>
    <col min="14" max="14" width="19" style="239" customWidth="1"/>
    <col min="15" max="15" width="11.5703125" style="600" customWidth="1"/>
    <col min="16" max="16" width="7.7109375" style="239" bestFit="1" customWidth="1"/>
    <col min="17" max="17" width="17" style="239" customWidth="1"/>
    <col min="18" max="18" width="8.85546875" style="239" bestFit="1" customWidth="1"/>
    <col min="19" max="19" width="10.140625" style="239" bestFit="1" customWidth="1"/>
    <col min="20" max="20" width="13.28515625" style="239" customWidth="1"/>
    <col min="21" max="16384" width="9.140625" style="239"/>
  </cols>
  <sheetData>
    <row r="1" spans="1:20" ht="30.75">
      <c r="A1" s="977" t="s">
        <v>1557</v>
      </c>
      <c r="B1" s="977"/>
      <c r="C1" s="977"/>
      <c r="D1" s="977"/>
      <c r="E1" s="977"/>
      <c r="F1" s="977"/>
      <c r="G1" s="977"/>
      <c r="H1" s="977"/>
      <c r="I1" s="977"/>
      <c r="J1" s="977"/>
      <c r="K1" s="977"/>
      <c r="L1" s="977"/>
      <c r="M1" s="977"/>
      <c r="N1" s="977"/>
      <c r="O1" s="977"/>
      <c r="P1" s="977"/>
      <c r="Q1" s="977"/>
      <c r="R1" s="977"/>
      <c r="S1" s="977"/>
      <c r="T1" s="977"/>
    </row>
    <row r="2" spans="1:20" ht="30.75">
      <c r="A2" s="563" t="s">
        <v>439</v>
      </c>
      <c r="B2" s="564"/>
      <c r="C2" s="564"/>
      <c r="D2" s="564"/>
      <c r="E2" s="564"/>
      <c r="F2" s="565"/>
      <c r="G2" s="566"/>
      <c r="H2" s="564"/>
      <c r="I2" s="564"/>
      <c r="J2" s="563"/>
      <c r="K2" s="567"/>
      <c r="L2" s="567"/>
      <c r="M2" s="567"/>
      <c r="N2" s="567"/>
      <c r="O2" s="568"/>
      <c r="P2" s="567"/>
      <c r="Q2" s="567"/>
      <c r="R2" s="567"/>
      <c r="S2" s="567"/>
      <c r="T2" s="567"/>
    </row>
    <row r="3" spans="1:20">
      <c r="A3" s="963" t="s">
        <v>1523</v>
      </c>
      <c r="B3" s="999"/>
      <c r="C3" s="999"/>
      <c r="D3" s="999"/>
      <c r="E3" s="999"/>
      <c r="F3" s="999"/>
      <c r="G3" s="999"/>
      <c r="H3" s="999"/>
      <c r="I3" s="964"/>
      <c r="J3" s="1000" t="s">
        <v>1551</v>
      </c>
      <c r="K3" s="1000"/>
      <c r="L3" s="1000"/>
      <c r="M3" s="1000"/>
      <c r="N3" s="1000"/>
      <c r="O3" s="1000"/>
      <c r="P3" s="1000"/>
      <c r="Q3" s="1001"/>
      <c r="R3" s="1002" t="s">
        <v>422</v>
      </c>
      <c r="S3" s="1002"/>
      <c r="T3" s="1002"/>
    </row>
    <row r="4" spans="1:20" ht="43.5">
      <c r="A4" s="1003" t="s">
        <v>138</v>
      </c>
      <c r="B4" s="989" t="s">
        <v>3</v>
      </c>
      <c r="C4" s="989" t="s">
        <v>2</v>
      </c>
      <c r="D4" s="993" t="s">
        <v>0</v>
      </c>
      <c r="E4" s="993" t="s">
        <v>303</v>
      </c>
      <c r="F4" s="993" t="s">
        <v>351</v>
      </c>
      <c r="G4" s="995" t="s">
        <v>228</v>
      </c>
      <c r="H4" s="993" t="s">
        <v>229</v>
      </c>
      <c r="I4" s="993" t="s">
        <v>352</v>
      </c>
      <c r="J4" s="997" t="s">
        <v>3</v>
      </c>
      <c r="K4" s="997" t="s">
        <v>2</v>
      </c>
      <c r="L4" s="991" t="s">
        <v>0</v>
      </c>
      <c r="M4" s="991" t="s">
        <v>303</v>
      </c>
      <c r="N4" s="991" t="s">
        <v>351</v>
      </c>
      <c r="O4" s="1007" t="s">
        <v>228</v>
      </c>
      <c r="P4" s="991" t="s">
        <v>229</v>
      </c>
      <c r="Q4" s="991" t="s">
        <v>352</v>
      </c>
      <c r="R4" s="569" t="s">
        <v>436</v>
      </c>
      <c r="S4" s="569" t="s">
        <v>437</v>
      </c>
      <c r="T4" s="569" t="s">
        <v>425</v>
      </c>
    </row>
    <row r="5" spans="1:20">
      <c r="A5" s="1004"/>
      <c r="B5" s="990"/>
      <c r="C5" s="990"/>
      <c r="D5" s="1006"/>
      <c r="E5" s="1006"/>
      <c r="F5" s="994"/>
      <c r="G5" s="996"/>
      <c r="H5" s="1006"/>
      <c r="I5" s="1006"/>
      <c r="J5" s="998"/>
      <c r="K5" s="998"/>
      <c r="L5" s="992"/>
      <c r="M5" s="992"/>
      <c r="N5" s="992"/>
      <c r="O5" s="1010"/>
      <c r="P5" s="992"/>
      <c r="Q5" s="992"/>
      <c r="R5" s="570" t="s">
        <v>438</v>
      </c>
      <c r="S5" s="570" t="s">
        <v>438</v>
      </c>
      <c r="T5" s="570" t="s">
        <v>438</v>
      </c>
    </row>
    <row r="6" spans="1:20">
      <c r="A6" s="1005"/>
      <c r="B6" s="990"/>
      <c r="C6" s="990"/>
      <c r="D6" s="1006"/>
      <c r="E6" s="1006"/>
      <c r="F6" s="994"/>
      <c r="G6" s="996"/>
      <c r="H6" s="1006"/>
      <c r="I6" s="1006"/>
      <c r="J6" s="998"/>
      <c r="K6" s="998"/>
      <c r="L6" s="992"/>
      <c r="M6" s="992"/>
      <c r="N6" s="992"/>
      <c r="O6" s="1011"/>
      <c r="P6" s="992"/>
      <c r="Q6" s="992"/>
      <c r="R6" s="571" t="s">
        <v>429</v>
      </c>
      <c r="S6" s="571" t="s">
        <v>429</v>
      </c>
      <c r="T6" s="571" t="s">
        <v>429</v>
      </c>
    </row>
    <row r="7" spans="1:20">
      <c r="A7" s="572" t="s">
        <v>234</v>
      </c>
      <c r="B7" s="573">
        <v>140444504.55000001</v>
      </c>
      <c r="C7" s="573">
        <v>225981118.25</v>
      </c>
      <c r="D7" s="574">
        <v>10412485.57</v>
      </c>
      <c r="E7" s="574">
        <v>86962.66</v>
      </c>
      <c r="F7" s="574">
        <f>SUM(B7:E7)</f>
        <v>376925071.03000003</v>
      </c>
      <c r="G7" s="606">
        <v>78008</v>
      </c>
      <c r="H7" s="576" t="s">
        <v>232</v>
      </c>
      <c r="I7" s="574">
        <f>F7/G7</f>
        <v>4831.8771283714495</v>
      </c>
      <c r="J7" s="577">
        <f>ตาราง5!C4</f>
        <v>128154665.28155375</v>
      </c>
      <c r="K7" s="577">
        <f>ตาราง5!D4</f>
        <v>244261135.8620764</v>
      </c>
      <c r="L7" s="577">
        <f>ตาราง5!E4</f>
        <v>9556328.5134346765</v>
      </c>
      <c r="M7" s="577">
        <f>ตาราง5!F4</f>
        <v>87728.343058959537</v>
      </c>
      <c r="N7" s="577">
        <f>SUM(J7:M7)</f>
        <v>382059858.00012374</v>
      </c>
      <c r="O7" s="578">
        <f>ตาราง5!H4</f>
        <v>69897</v>
      </c>
      <c r="P7" s="579" t="s">
        <v>232</v>
      </c>
      <c r="Q7" s="577">
        <f>N7/O7</f>
        <v>5466.0408601245226</v>
      </c>
      <c r="R7" s="581">
        <f t="shared" ref="R7:S9" si="0">+(N7-F7)/F7*100</f>
        <v>1.3622832135024054</v>
      </c>
      <c r="S7" s="581">
        <f t="shared" si="0"/>
        <v>-10.397651522920725</v>
      </c>
      <c r="T7" s="581">
        <f>+(Q7-I7)/I7*100</f>
        <v>13.124583156915119</v>
      </c>
    </row>
    <row r="8" spans="1:20">
      <c r="A8" s="582" t="s">
        <v>237</v>
      </c>
      <c r="B8" s="583">
        <v>14896605.529999999</v>
      </c>
      <c r="C8" s="583">
        <v>29494325.93</v>
      </c>
      <c r="D8" s="583">
        <v>1184853.8700000001</v>
      </c>
      <c r="E8" s="583">
        <v>9895.6200000000008</v>
      </c>
      <c r="F8" s="584">
        <f>SUM(B8:E8)</f>
        <v>45585680.949999996</v>
      </c>
      <c r="G8" s="585">
        <v>4</v>
      </c>
      <c r="H8" s="586" t="s">
        <v>238</v>
      </c>
      <c r="I8" s="584">
        <f>F8/G8</f>
        <v>11396420.237499999</v>
      </c>
      <c r="J8" s="587">
        <f>ตาราง5!C5</f>
        <v>12511180.734414453</v>
      </c>
      <c r="K8" s="587">
        <f>ตาราง5!D5</f>
        <v>26264555.044701159</v>
      </c>
      <c r="L8" s="587">
        <f>ตาราง5!E5</f>
        <v>952830.40896416211</v>
      </c>
      <c r="M8" s="587">
        <f>ตาราง5!F5</f>
        <v>8747.1075190751435</v>
      </c>
      <c r="N8" s="587">
        <f>SUM(J8:M8)</f>
        <v>39737313.29559885</v>
      </c>
      <c r="O8" s="588">
        <f>ตาราง5!H5</f>
        <v>4</v>
      </c>
      <c r="P8" s="487" t="s">
        <v>238</v>
      </c>
      <c r="Q8" s="587">
        <f>N8/O8</f>
        <v>9934328.3238997124</v>
      </c>
      <c r="R8" s="590">
        <f t="shared" si="0"/>
        <v>-12.829396276466385</v>
      </c>
      <c r="S8" s="590">
        <f>+(O8-G8)/G8*100</f>
        <v>0</v>
      </c>
      <c r="T8" s="590">
        <f>+(Q8-I8)/I8*100</f>
        <v>-12.829396276466385</v>
      </c>
    </row>
    <row r="9" spans="1:20">
      <c r="A9" s="607" t="s">
        <v>1490</v>
      </c>
      <c r="B9" s="608">
        <v>12758864.949999999</v>
      </c>
      <c r="C9" s="608">
        <v>27219313.550000001</v>
      </c>
      <c r="D9" s="608">
        <f>1090975.01+0.01</f>
        <v>1090975.02</v>
      </c>
      <c r="E9" s="608">
        <f>9111.57+0.01</f>
        <v>9111.58</v>
      </c>
      <c r="F9" s="584">
        <f>SUM(B9:E9)</f>
        <v>41078265.100000001</v>
      </c>
      <c r="G9" s="592">
        <v>1</v>
      </c>
      <c r="H9" s="593" t="s">
        <v>241</v>
      </c>
      <c r="I9" s="584">
        <f>F9/G9</f>
        <v>41078265.100000001</v>
      </c>
      <c r="J9" s="587">
        <f>ตาราง5!C6</f>
        <v>11112613.304031795</v>
      </c>
      <c r="K9" s="587">
        <f>ตาราง5!D6</f>
        <v>26248626.943222545</v>
      </c>
      <c r="L9" s="587">
        <f>ตาราง5!E6</f>
        <v>1034234.6876011562</v>
      </c>
      <c r="M9" s="587">
        <f>ตาราง5!F6</f>
        <v>9494.4094219653161</v>
      </c>
      <c r="N9" s="587">
        <f>SUM(J9:M9)</f>
        <v>38404969.344277464</v>
      </c>
      <c r="O9" s="588">
        <f>ตาราง5!H6</f>
        <v>1</v>
      </c>
      <c r="P9" s="594" t="s">
        <v>241</v>
      </c>
      <c r="Q9" s="587">
        <f>N9/O9</f>
        <v>38404969.344277464</v>
      </c>
      <c r="R9" s="590">
        <f t="shared" si="0"/>
        <v>-6.5078107588398062</v>
      </c>
      <c r="S9" s="590">
        <f>+(O9-G9)/G9*100</f>
        <v>0</v>
      </c>
      <c r="T9" s="590">
        <f>+(Q9-I9)/I9*100</f>
        <v>-6.5078107588398062</v>
      </c>
    </row>
    <row r="10" spans="1:20" s="264" customFormat="1" ht="24.75" thickBot="1">
      <c r="A10" s="400" t="s">
        <v>361</v>
      </c>
      <c r="B10" s="609">
        <f>SUM(B7:B9)</f>
        <v>168099975.03</v>
      </c>
      <c r="C10" s="609">
        <f>SUM(C7:C9)</f>
        <v>282694757.73000002</v>
      </c>
      <c r="D10" s="609">
        <f>SUM(D7:D9)</f>
        <v>12688314.460000001</v>
      </c>
      <c r="E10" s="609">
        <f>SUM(E7:E9)</f>
        <v>105969.86</v>
      </c>
      <c r="F10" s="609">
        <f>SUM(F7:F9)</f>
        <v>463589017.08000004</v>
      </c>
      <c r="G10" s="609"/>
      <c r="H10" s="609">
        <f t="shared" ref="H10:N10" si="1">SUM(H7:H9)</f>
        <v>0</v>
      </c>
      <c r="I10" s="609">
        <f t="shared" si="1"/>
        <v>52479517.214628369</v>
      </c>
      <c r="J10" s="609">
        <f t="shared" si="1"/>
        <v>151778459.31999999</v>
      </c>
      <c r="K10" s="609">
        <f t="shared" si="1"/>
        <v>296774317.85000008</v>
      </c>
      <c r="L10" s="609">
        <f t="shared" si="1"/>
        <v>11543393.609999996</v>
      </c>
      <c r="M10" s="609">
        <f t="shared" si="1"/>
        <v>105969.86</v>
      </c>
      <c r="N10" s="609">
        <f t="shared" si="1"/>
        <v>460202140.64000005</v>
      </c>
      <c r="O10" s="609"/>
      <c r="P10" s="609">
        <f>SUM(P7:P9)</f>
        <v>0</v>
      </c>
      <c r="Q10" s="609">
        <f>SUM(Q7:Q9)</f>
        <v>48344763.709037304</v>
      </c>
      <c r="R10" s="609"/>
      <c r="S10" s="609"/>
      <c r="T10" s="609"/>
    </row>
    <row r="11" spans="1:20" ht="32.25" customHeight="1" thickTop="1">
      <c r="B11" s="596"/>
      <c r="C11" s="596"/>
      <c r="D11" s="596"/>
      <c r="E11" s="596">
        <f>SUM(D10:E10)</f>
        <v>12794284.32</v>
      </c>
      <c r="F11" s="597"/>
      <c r="M11" s="243">
        <f>SUM(L10:M10)</f>
        <v>11649363.469999995</v>
      </c>
    </row>
    <row r="12" spans="1:20" s="599" customFormat="1">
      <c r="A12" s="264" t="s">
        <v>472</v>
      </c>
      <c r="B12" s="239"/>
      <c r="C12" s="239"/>
      <c r="D12" s="239"/>
      <c r="E12" s="239"/>
      <c r="F12" s="239"/>
      <c r="G12" s="601"/>
      <c r="H12" s="239"/>
      <c r="I12" s="239"/>
      <c r="O12" s="602"/>
    </row>
    <row r="13" spans="1:20" s="599" customFormat="1">
      <c r="A13" s="264" t="s">
        <v>473</v>
      </c>
      <c r="B13" s="239"/>
      <c r="C13" s="239"/>
      <c r="D13" s="239"/>
      <c r="E13" s="239"/>
      <c r="F13" s="239"/>
      <c r="G13" s="601"/>
      <c r="H13" s="239"/>
      <c r="I13" s="239"/>
      <c r="O13" s="602"/>
    </row>
    <row r="14" spans="1:20" s="599" customFormat="1">
      <c r="A14" s="239" t="s">
        <v>1577</v>
      </c>
      <c r="B14" s="239"/>
      <c r="C14" s="239"/>
      <c r="D14" s="239"/>
      <c r="E14" s="239"/>
      <c r="F14" s="239"/>
      <c r="G14" s="601"/>
      <c r="H14" s="239"/>
      <c r="I14" s="239"/>
      <c r="O14" s="602"/>
    </row>
    <row r="15" spans="1:20">
      <c r="A15" s="239" t="s">
        <v>1570</v>
      </c>
      <c r="B15" s="239"/>
      <c r="C15" s="239"/>
      <c r="D15" s="239"/>
      <c r="E15" s="239"/>
      <c r="F15" s="239"/>
      <c r="G15" s="601"/>
      <c r="H15" s="239"/>
      <c r="I15" s="239"/>
    </row>
    <row r="16" spans="1:20">
      <c r="A16" s="264" t="s">
        <v>1571</v>
      </c>
      <c r="B16" s="604"/>
    </row>
    <row r="17" spans="1:2">
      <c r="A17" s="493" t="s">
        <v>1572</v>
      </c>
      <c r="B17" s="604"/>
    </row>
    <row r="18" spans="1:2">
      <c r="A18" s="603"/>
      <c r="B18" s="604"/>
    </row>
  </sheetData>
  <mergeCells count="21">
    <mergeCell ref="A1:T1"/>
    <mergeCell ref="A3:I3"/>
    <mergeCell ref="J3:Q3"/>
    <mergeCell ref="R3:T3"/>
    <mergeCell ref="A4:A6"/>
    <mergeCell ref="M4:M6"/>
    <mergeCell ref="C4:C6"/>
    <mergeCell ref="L4:L6"/>
    <mergeCell ref="P4:P6"/>
    <mergeCell ref="E4:E6"/>
    <mergeCell ref="H4:H6"/>
    <mergeCell ref="O4:O6"/>
    <mergeCell ref="D4:D6"/>
    <mergeCell ref="K4:K6"/>
    <mergeCell ref="I4:I6"/>
    <mergeCell ref="Q4:Q6"/>
    <mergeCell ref="B4:B6"/>
    <mergeCell ref="N4:N6"/>
    <mergeCell ref="F4:F6"/>
    <mergeCell ref="G4:G6"/>
    <mergeCell ref="J4:J6"/>
  </mergeCells>
  <pageMargins left="0.17" right="0.15" top="0.74803149606299202" bottom="0.74803149606299202" header="0.31496062992126" footer="0.31496062992126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zoomScaleNormal="75" zoomScaleSheetLayoutView="75" workbookViewId="0">
      <selection activeCell="D13" sqref="D13"/>
    </sheetView>
  </sheetViews>
  <sheetFormatPr defaultRowHeight="12.75"/>
  <cols>
    <col min="1" max="1" width="14" customWidth="1"/>
    <col min="2" max="2" width="20.85546875" customWidth="1"/>
    <col min="3" max="5" width="14" customWidth="1"/>
  </cols>
  <sheetData>
    <row r="1" spans="1:5" ht="15" customHeight="1">
      <c r="A1" s="46" t="s">
        <v>37</v>
      </c>
      <c r="B1" s="46" t="s">
        <v>38</v>
      </c>
      <c r="C1" s="46" t="s">
        <v>39</v>
      </c>
      <c r="D1" s="46" t="s">
        <v>0</v>
      </c>
      <c r="E1" s="46" t="s">
        <v>1</v>
      </c>
    </row>
    <row r="2" spans="1:5" ht="15" customHeight="1">
      <c r="A2" s="47" t="s">
        <v>40</v>
      </c>
      <c r="B2" s="48">
        <v>9871505.7300000004</v>
      </c>
      <c r="C2" s="48">
        <v>35125236.979999997</v>
      </c>
      <c r="D2" s="48">
        <v>1827019.5</v>
      </c>
      <c r="E2" s="48">
        <f>SUM(B2:D2)</f>
        <v>46823762.209999993</v>
      </c>
    </row>
    <row r="3" spans="1:5" ht="15" customHeight="1">
      <c r="A3" s="47" t="s">
        <v>41</v>
      </c>
      <c r="B3" s="48">
        <v>107445</v>
      </c>
      <c r="C3" s="48">
        <v>4881375.49</v>
      </c>
      <c r="D3" s="49"/>
      <c r="E3" s="48">
        <f t="shared" ref="E3:E10" si="0">SUM(B3:D3)</f>
        <v>4988820.49</v>
      </c>
    </row>
    <row r="4" spans="1:5" ht="15" customHeight="1">
      <c r="A4" s="47" t="s">
        <v>42</v>
      </c>
      <c r="B4" s="48">
        <v>230041</v>
      </c>
      <c r="C4" s="48">
        <v>1697768.28</v>
      </c>
      <c r="D4" s="49"/>
      <c r="E4" s="48">
        <f t="shared" si="0"/>
        <v>1927809.28</v>
      </c>
    </row>
    <row r="5" spans="1:5" ht="15" customHeight="1">
      <c r="A5" s="47" t="s">
        <v>43</v>
      </c>
      <c r="B5" s="48">
        <v>6719830.1500000004</v>
      </c>
      <c r="C5" s="48">
        <v>163581334.38</v>
      </c>
      <c r="D5" s="49"/>
      <c r="E5" s="48">
        <f t="shared" si="0"/>
        <v>170301164.53</v>
      </c>
    </row>
    <row r="6" spans="1:5" ht="15" customHeight="1">
      <c r="A6" s="47" t="s">
        <v>44</v>
      </c>
      <c r="B6" s="48">
        <v>79174051.459999993</v>
      </c>
      <c r="C6" s="48">
        <v>42413345.509999998</v>
      </c>
      <c r="D6" s="48">
        <v>105969.86</v>
      </c>
      <c r="E6" s="48">
        <f t="shared" si="0"/>
        <v>121693366.83</v>
      </c>
    </row>
    <row r="7" spans="1:5" ht="15" customHeight="1">
      <c r="A7" s="47" t="s">
        <v>45</v>
      </c>
      <c r="B7" s="49"/>
      <c r="C7" s="48">
        <v>450582.05</v>
      </c>
      <c r="D7" s="49"/>
      <c r="E7" s="48">
        <f t="shared" si="0"/>
        <v>450582.05</v>
      </c>
    </row>
    <row r="8" spans="1:5" ht="15" customHeight="1">
      <c r="A8" s="47" t="s">
        <v>46</v>
      </c>
      <c r="B8" s="48"/>
      <c r="C8" s="48">
        <v>64000.160000000003</v>
      </c>
      <c r="D8" s="49"/>
      <c r="E8" s="48">
        <f t="shared" si="0"/>
        <v>64000.160000000003</v>
      </c>
    </row>
    <row r="9" spans="1:5" ht="15" customHeight="1">
      <c r="A9" s="62">
        <v>5211</v>
      </c>
      <c r="B9" s="48">
        <v>1</v>
      </c>
      <c r="C9" s="48"/>
      <c r="D9" s="49"/>
      <c r="E9" s="48">
        <f t="shared" si="0"/>
        <v>1</v>
      </c>
    </row>
    <row r="10" spans="1:5" ht="15" customHeight="1">
      <c r="A10" s="47" t="s">
        <v>219</v>
      </c>
      <c r="B10" s="49">
        <v>130</v>
      </c>
      <c r="C10" s="48">
        <v>8130991</v>
      </c>
      <c r="D10" s="49"/>
      <c r="E10" s="48">
        <f t="shared" si="0"/>
        <v>8131121</v>
      </c>
    </row>
    <row r="11" spans="1:5" ht="15">
      <c r="A11" s="50" t="s">
        <v>1</v>
      </c>
      <c r="B11" s="51">
        <f>SUM(B2:B10)</f>
        <v>96103004.340000004</v>
      </c>
      <c r="C11" s="51">
        <f>SUM(C2:C10)</f>
        <v>256344633.84999999</v>
      </c>
      <c r="D11" s="51">
        <f>SUM(D2:D10)</f>
        <v>1932989.36</v>
      </c>
      <c r="E11" s="51">
        <f>SUM(E2:E10)</f>
        <v>354380627.55000001</v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26"/>
  <sheetViews>
    <sheetView workbookViewId="0">
      <selection activeCell="A17" sqref="A17"/>
    </sheetView>
  </sheetViews>
  <sheetFormatPr defaultRowHeight="18.75"/>
  <cols>
    <col min="1" max="1" width="28" style="80" customWidth="1"/>
    <col min="2" max="2" width="13.140625" style="673" customWidth="1"/>
    <col min="3" max="3" width="13.28515625" style="673" bestFit="1" customWidth="1"/>
    <col min="4" max="4" width="12.7109375" style="673" customWidth="1"/>
    <col min="5" max="5" width="10.7109375" style="673" customWidth="1"/>
    <col min="6" max="6" width="13.28515625" style="674" bestFit="1" customWidth="1"/>
    <col min="7" max="7" width="7.42578125" style="676" bestFit="1" customWidth="1"/>
    <col min="8" max="8" width="6.7109375" style="673" bestFit="1" customWidth="1"/>
    <col min="9" max="9" width="12.7109375" style="673" customWidth="1"/>
    <col min="10" max="10" width="13.42578125" style="667" customWidth="1"/>
    <col min="11" max="11" width="13.28515625" style="667" bestFit="1" customWidth="1"/>
    <col min="12" max="12" width="12.42578125" style="667" customWidth="1"/>
    <col min="13" max="13" width="13.42578125" style="667" customWidth="1"/>
    <col min="14" max="14" width="13.140625" style="667" bestFit="1" customWidth="1"/>
    <col min="15" max="15" width="12.140625" style="668" bestFit="1" customWidth="1"/>
    <col min="16" max="16" width="6.7109375" style="667" bestFit="1" customWidth="1"/>
    <col min="17" max="17" width="13.28515625" style="667" customWidth="1"/>
    <col min="18" max="18" width="7.5703125" style="80" bestFit="1" customWidth="1"/>
    <col min="19" max="19" width="7.140625" style="80" bestFit="1" customWidth="1"/>
    <col min="20" max="20" width="8.28515625" style="80" customWidth="1"/>
    <col min="21" max="16384" width="9.140625" style="80"/>
  </cols>
  <sheetData>
    <row r="1" spans="1:22" ht="30.75">
      <c r="A1" s="977" t="s">
        <v>1557</v>
      </c>
      <c r="B1" s="977"/>
      <c r="C1" s="977"/>
      <c r="D1" s="977"/>
      <c r="E1" s="977"/>
      <c r="F1" s="977"/>
      <c r="G1" s="977"/>
      <c r="H1" s="977"/>
      <c r="I1" s="977"/>
      <c r="J1" s="977"/>
      <c r="K1" s="977"/>
      <c r="L1" s="977"/>
      <c r="M1" s="977"/>
      <c r="N1" s="977"/>
      <c r="O1" s="977"/>
      <c r="P1" s="977"/>
      <c r="Q1" s="977"/>
      <c r="R1" s="977"/>
      <c r="S1" s="977"/>
      <c r="T1" s="977"/>
    </row>
    <row r="2" spans="1:22" ht="30.75">
      <c r="A2" s="563" t="s">
        <v>440</v>
      </c>
      <c r="B2" s="610"/>
      <c r="C2" s="610"/>
      <c r="D2" s="610"/>
      <c r="E2" s="610"/>
      <c r="F2" s="611"/>
      <c r="G2" s="612"/>
      <c r="H2" s="610"/>
      <c r="I2" s="610"/>
      <c r="J2" s="613"/>
      <c r="K2" s="614"/>
      <c r="L2" s="614"/>
      <c r="M2" s="614"/>
      <c r="N2" s="614"/>
      <c r="O2" s="615"/>
      <c r="P2" s="614"/>
      <c r="Q2" s="614"/>
      <c r="R2" s="616"/>
      <c r="S2" s="616"/>
      <c r="T2" s="616"/>
    </row>
    <row r="3" spans="1:22" ht="24">
      <c r="A3" s="1024" t="s">
        <v>1523</v>
      </c>
      <c r="B3" s="1025"/>
      <c r="C3" s="1025"/>
      <c r="D3" s="1025"/>
      <c r="E3" s="1025"/>
      <c r="F3" s="1025"/>
      <c r="G3" s="1025"/>
      <c r="H3" s="1025"/>
      <c r="I3" s="1026"/>
      <c r="J3" s="1027" t="s">
        <v>1551</v>
      </c>
      <c r="K3" s="1027"/>
      <c r="L3" s="1027"/>
      <c r="M3" s="1027"/>
      <c r="N3" s="1027"/>
      <c r="O3" s="1027"/>
      <c r="P3" s="1027"/>
      <c r="Q3" s="1028"/>
      <c r="R3" s="1029" t="s">
        <v>422</v>
      </c>
      <c r="S3" s="1029"/>
      <c r="T3" s="1029"/>
    </row>
    <row r="4" spans="1:22">
      <c r="A4" s="1030" t="s">
        <v>231</v>
      </c>
      <c r="B4" s="1012" t="s">
        <v>3</v>
      </c>
      <c r="C4" s="1012" t="s">
        <v>2</v>
      </c>
      <c r="D4" s="1017" t="s">
        <v>0</v>
      </c>
      <c r="E4" s="1017" t="s">
        <v>303</v>
      </c>
      <c r="F4" s="1017" t="s">
        <v>351</v>
      </c>
      <c r="G4" s="1019" t="s">
        <v>228</v>
      </c>
      <c r="H4" s="1017" t="s">
        <v>229</v>
      </c>
      <c r="I4" s="1017" t="s">
        <v>352</v>
      </c>
      <c r="J4" s="1021" t="s">
        <v>3</v>
      </c>
      <c r="K4" s="1021" t="s">
        <v>2</v>
      </c>
      <c r="L4" s="1015" t="s">
        <v>0</v>
      </c>
      <c r="M4" s="1015" t="s">
        <v>303</v>
      </c>
      <c r="N4" s="1015" t="s">
        <v>351</v>
      </c>
      <c r="O4" s="1034" t="s">
        <v>228</v>
      </c>
      <c r="P4" s="1015" t="s">
        <v>229</v>
      </c>
      <c r="Q4" s="1015" t="s">
        <v>352</v>
      </c>
      <c r="R4" s="617" t="s">
        <v>436</v>
      </c>
      <c r="S4" s="617" t="s">
        <v>437</v>
      </c>
      <c r="T4" s="617" t="s">
        <v>425</v>
      </c>
    </row>
    <row r="5" spans="1:22" ht="37.5">
      <c r="A5" s="1031"/>
      <c r="B5" s="1013"/>
      <c r="C5" s="1013"/>
      <c r="D5" s="1033"/>
      <c r="E5" s="1033"/>
      <c r="F5" s="1018"/>
      <c r="G5" s="1020"/>
      <c r="H5" s="1033"/>
      <c r="I5" s="1033"/>
      <c r="J5" s="1022"/>
      <c r="K5" s="1022"/>
      <c r="L5" s="1016"/>
      <c r="M5" s="1016"/>
      <c r="N5" s="1016"/>
      <c r="O5" s="1035"/>
      <c r="P5" s="1016"/>
      <c r="Q5" s="1016"/>
      <c r="R5" s="618" t="s">
        <v>438</v>
      </c>
      <c r="S5" s="618" t="s">
        <v>438</v>
      </c>
      <c r="T5" s="618" t="s">
        <v>438</v>
      </c>
    </row>
    <row r="6" spans="1:22">
      <c r="A6" s="1032"/>
      <c r="B6" s="1014"/>
      <c r="C6" s="1014"/>
      <c r="D6" s="1033"/>
      <c r="E6" s="1033"/>
      <c r="F6" s="1018"/>
      <c r="G6" s="1020"/>
      <c r="H6" s="1033"/>
      <c r="I6" s="1033"/>
      <c r="J6" s="1023"/>
      <c r="K6" s="1023"/>
      <c r="L6" s="1016"/>
      <c r="M6" s="1016"/>
      <c r="N6" s="1016"/>
      <c r="O6" s="1036"/>
      <c r="P6" s="1016"/>
      <c r="Q6" s="1016"/>
      <c r="R6" s="618" t="s">
        <v>429</v>
      </c>
      <c r="S6" s="618" t="s">
        <v>429</v>
      </c>
      <c r="T6" s="618" t="s">
        <v>429</v>
      </c>
    </row>
    <row r="7" spans="1:22">
      <c r="A7" s="619" t="s">
        <v>235</v>
      </c>
      <c r="B7" s="620">
        <v>155341110.08000001</v>
      </c>
      <c r="C7" s="620">
        <v>255475444.18000001</v>
      </c>
      <c r="D7" s="621">
        <v>11597339.449999999</v>
      </c>
      <c r="E7" s="621">
        <v>96858.29</v>
      </c>
      <c r="F7" s="622">
        <f>SUM(B7:E7)</f>
        <v>422510752</v>
      </c>
      <c r="G7" s="623">
        <v>78008</v>
      </c>
      <c r="H7" s="624" t="s">
        <v>232</v>
      </c>
      <c r="I7" s="621">
        <f>F7/G7</f>
        <v>5416.2490001025535</v>
      </c>
      <c r="J7" s="625">
        <f>ตาราง6!B5</f>
        <v>140665846.0159682</v>
      </c>
      <c r="K7" s="625">
        <f>ตาราง6!C5</f>
        <v>270525690.90677756</v>
      </c>
      <c r="L7" s="626">
        <f>ตาราง6!D5</f>
        <v>10509158.922398839</v>
      </c>
      <c r="M7" s="626">
        <f>ตาราง6!E5</f>
        <v>96475.450578034681</v>
      </c>
      <c r="N7" s="626">
        <f>SUM(J7:M7)</f>
        <v>421797171.29572266</v>
      </c>
      <c r="O7" s="627">
        <f>ตาราง6!G5</f>
        <v>69897</v>
      </c>
      <c r="P7" s="628" t="s">
        <v>232</v>
      </c>
      <c r="Q7" s="628">
        <f>N7/O7</f>
        <v>6034.5532897795711</v>
      </c>
      <c r="R7" s="629">
        <f>+(N7-F7)/F7*100</f>
        <v>-0.16889054323458652</v>
      </c>
      <c r="S7" s="629">
        <f>+(O7-G7)/G7*100</f>
        <v>-10.397651522920725</v>
      </c>
      <c r="T7" s="629">
        <f>+(Q7-I7)/I7*100</f>
        <v>11.415728665083719</v>
      </c>
    </row>
    <row r="8" spans="1:22">
      <c r="A8" s="630" t="s">
        <v>239</v>
      </c>
      <c r="B8" s="631"/>
      <c r="C8" s="631"/>
      <c r="D8" s="632"/>
      <c r="E8" s="632"/>
      <c r="F8" s="633"/>
      <c r="G8" s="634"/>
      <c r="H8" s="635"/>
      <c r="I8" s="632"/>
      <c r="J8" s="636"/>
      <c r="K8" s="636"/>
      <c r="L8" s="637"/>
      <c r="M8" s="637"/>
      <c r="N8" s="637"/>
      <c r="O8" s="638"/>
      <c r="P8" s="639"/>
      <c r="Q8" s="639"/>
      <c r="R8" s="640"/>
      <c r="S8" s="640"/>
      <c r="T8" s="640"/>
    </row>
    <row r="9" spans="1:22">
      <c r="A9" s="630" t="s">
        <v>242</v>
      </c>
      <c r="B9" s="631"/>
      <c r="C9" s="631"/>
      <c r="D9" s="632"/>
      <c r="E9" s="632"/>
      <c r="F9" s="633"/>
      <c r="G9" s="634"/>
      <c r="H9" s="635"/>
      <c r="I9" s="632"/>
      <c r="J9" s="636"/>
      <c r="K9" s="636"/>
      <c r="L9" s="637"/>
      <c r="M9" s="637"/>
      <c r="N9" s="637"/>
      <c r="O9" s="638"/>
      <c r="P9" s="639"/>
      <c r="Q9" s="639"/>
      <c r="R9" s="640"/>
      <c r="S9" s="640"/>
      <c r="T9" s="640"/>
    </row>
    <row r="10" spans="1:22">
      <c r="A10" s="630"/>
      <c r="B10" s="631"/>
      <c r="C10" s="631"/>
      <c r="D10" s="632"/>
      <c r="E10" s="632"/>
      <c r="F10" s="633"/>
      <c r="G10" s="634"/>
      <c r="H10" s="635"/>
      <c r="I10" s="632"/>
      <c r="J10" s="636"/>
      <c r="K10" s="636"/>
      <c r="L10" s="637"/>
      <c r="M10" s="637"/>
      <c r="N10" s="637"/>
      <c r="O10" s="638"/>
      <c r="P10" s="639"/>
      <c r="Q10" s="639"/>
      <c r="R10" s="641"/>
      <c r="S10" s="641"/>
      <c r="T10" s="641"/>
    </row>
    <row r="11" spans="1:22">
      <c r="A11" s="630" t="s">
        <v>243</v>
      </c>
      <c r="B11" s="642">
        <v>12758864.949999999</v>
      </c>
      <c r="C11" s="642">
        <v>27219313.550000001</v>
      </c>
      <c r="D11" s="643">
        <v>1090975.01</v>
      </c>
      <c r="E11" s="643">
        <v>9111.57</v>
      </c>
      <c r="F11" s="643">
        <f>SUM(B11:E11)</f>
        <v>41078265.079999998</v>
      </c>
      <c r="G11" s="644">
        <v>4</v>
      </c>
      <c r="H11" s="645" t="s">
        <v>238</v>
      </c>
      <c r="I11" s="643">
        <f>F11/G11</f>
        <v>10269566.27</v>
      </c>
      <c r="J11" s="646">
        <f>ตาราง6!B9</f>
        <v>11112613.304031795</v>
      </c>
      <c r="K11" s="646">
        <f>ตาราง6!C9</f>
        <v>26248626.943222545</v>
      </c>
      <c r="L11" s="646">
        <f>ตาราง6!D9</f>
        <v>1034234.6876011562</v>
      </c>
      <c r="M11" s="646">
        <f>ตาราง6!E9</f>
        <v>9494.4094219653161</v>
      </c>
      <c r="N11" s="646">
        <f>SUM(J11:M11)</f>
        <v>38404969.344277464</v>
      </c>
      <c r="O11" s="647">
        <f>ตาราง6!G9</f>
        <v>4</v>
      </c>
      <c r="P11" s="111" t="s">
        <v>238</v>
      </c>
      <c r="Q11" s="648">
        <f>N11/O11</f>
        <v>9601242.336069366</v>
      </c>
      <c r="R11" s="640">
        <f>+(N11-F11)/F11*100</f>
        <v>-6.5078107133207457</v>
      </c>
      <c r="S11" s="640">
        <f>+(O11-G11)/G11*100</f>
        <v>0</v>
      </c>
      <c r="T11" s="640">
        <f>+(Q11-I11)/I11*100</f>
        <v>-6.5078107133207457</v>
      </c>
    </row>
    <row r="12" spans="1:22">
      <c r="A12" s="649" t="s">
        <v>244</v>
      </c>
      <c r="B12" s="650"/>
      <c r="C12" s="650"/>
      <c r="D12" s="650"/>
      <c r="E12" s="650"/>
      <c r="F12" s="651"/>
      <c r="G12" s="652"/>
      <c r="H12" s="653"/>
      <c r="I12" s="651"/>
      <c r="J12" s="654"/>
      <c r="K12" s="654"/>
      <c r="L12" s="654"/>
      <c r="M12" s="654"/>
      <c r="N12" s="654"/>
      <c r="O12" s="655"/>
      <c r="P12" s="656"/>
      <c r="Q12" s="657"/>
      <c r="R12" s="658"/>
      <c r="S12" s="658"/>
      <c r="T12" s="658"/>
    </row>
    <row r="13" spans="1:22" s="79" customFormat="1">
      <c r="A13" s="85" t="s">
        <v>361</v>
      </c>
      <c r="B13" s="659">
        <f>SUM(B7:B12)</f>
        <v>168099975.03</v>
      </c>
      <c r="C13" s="659">
        <f>SUM(C7:C12)</f>
        <v>282694757.73000002</v>
      </c>
      <c r="D13" s="659">
        <f>SUM(D7:D12)</f>
        <v>12688314.459999999</v>
      </c>
      <c r="E13" s="659">
        <f>SUM(E7:E12)</f>
        <v>105969.85999999999</v>
      </c>
      <c r="F13" s="659">
        <f>SUM(F7:F12)</f>
        <v>463589017.07999998</v>
      </c>
      <c r="G13" s="660"/>
      <c r="H13" s="661"/>
      <c r="I13" s="659">
        <f t="shared" ref="I13:N13" si="0">SUM(I7:I12)</f>
        <v>10274982.519000102</v>
      </c>
      <c r="J13" s="659">
        <f t="shared" si="0"/>
        <v>151778459.31999999</v>
      </c>
      <c r="K13" s="659">
        <f t="shared" si="0"/>
        <v>296774317.85000008</v>
      </c>
      <c r="L13" s="659">
        <f t="shared" si="0"/>
        <v>11543393.609999996</v>
      </c>
      <c r="M13" s="659">
        <f t="shared" si="0"/>
        <v>105969.86</v>
      </c>
      <c r="N13" s="659">
        <f t="shared" si="0"/>
        <v>460202140.6400001</v>
      </c>
      <c r="O13" s="661"/>
      <c r="P13" s="661"/>
      <c r="Q13" s="661">
        <f>SUM(Q7:Q12)</f>
        <v>9607276.8893591464</v>
      </c>
      <c r="R13" s="661"/>
      <c r="S13" s="661"/>
      <c r="T13" s="661"/>
    </row>
    <row r="14" spans="1:22">
      <c r="A14" s="662"/>
      <c r="B14" s="663"/>
      <c r="C14" s="663"/>
      <c r="D14" s="663"/>
      <c r="E14" s="663">
        <f>SUM(D13:E13)</f>
        <v>12794284.319999998</v>
      </c>
      <c r="F14" s="664"/>
      <c r="G14" s="665"/>
      <c r="H14" s="663"/>
      <c r="I14" s="663"/>
      <c r="J14" s="666"/>
      <c r="K14" s="666"/>
      <c r="L14" s="666"/>
      <c r="M14" s="667">
        <f>SUM(L13:M13)</f>
        <v>11649363.469999995</v>
      </c>
    </row>
    <row r="15" spans="1:22" s="239" customFormat="1" ht="24">
      <c r="A15" s="264" t="s">
        <v>474</v>
      </c>
      <c r="B15" s="669"/>
      <c r="C15" s="669"/>
      <c r="D15" s="669"/>
      <c r="E15" s="669"/>
      <c r="F15" s="670"/>
      <c r="G15" s="671"/>
      <c r="H15" s="669"/>
      <c r="I15" s="669"/>
      <c r="J15" s="672"/>
      <c r="K15" s="672"/>
      <c r="L15" s="672"/>
      <c r="M15" s="672"/>
      <c r="N15" s="672"/>
      <c r="O15" s="600"/>
      <c r="P15" s="672"/>
      <c r="Q15" s="672"/>
    </row>
    <row r="16" spans="1:22" s="239" customFormat="1" ht="24">
      <c r="A16" s="264" t="s">
        <v>1576</v>
      </c>
      <c r="B16" s="669"/>
      <c r="C16" s="669"/>
      <c r="D16" s="669"/>
      <c r="E16" s="669"/>
      <c r="F16" s="670"/>
      <c r="G16" s="671"/>
      <c r="H16" s="669"/>
      <c r="I16" s="669"/>
      <c r="J16" s="672"/>
      <c r="K16" s="672"/>
      <c r="L16" s="672"/>
      <c r="M16" s="672"/>
      <c r="N16" s="672"/>
      <c r="O16" s="600"/>
      <c r="P16" s="672"/>
      <c r="Q16" s="672"/>
      <c r="V16" s="932">
        <f>(69897-78008)/78008*100</f>
        <v>-10.397651522920725</v>
      </c>
    </row>
    <row r="17" spans="1:17" s="239" customFormat="1" ht="24">
      <c r="A17" s="493" t="s">
        <v>1569</v>
      </c>
      <c r="B17" s="669"/>
      <c r="C17" s="669"/>
      <c r="D17" s="669"/>
      <c r="E17" s="669"/>
      <c r="F17" s="670"/>
      <c r="G17" s="671"/>
      <c r="H17" s="669"/>
      <c r="I17" s="669"/>
      <c r="J17" s="672"/>
      <c r="K17" s="672"/>
      <c r="L17" s="672"/>
      <c r="M17" s="672"/>
      <c r="N17" s="672"/>
      <c r="O17" s="600"/>
      <c r="P17" s="672"/>
      <c r="Q17" s="672"/>
    </row>
    <row r="18" spans="1:17" s="239" customFormat="1" ht="24">
      <c r="B18" s="669"/>
      <c r="C18" s="669"/>
      <c r="D18" s="669"/>
      <c r="E18" s="669"/>
      <c r="F18" s="670"/>
      <c r="G18" s="671"/>
      <c r="H18" s="669"/>
      <c r="I18" s="669"/>
      <c r="J18" s="672"/>
      <c r="K18" s="672"/>
      <c r="L18" s="672"/>
      <c r="M18" s="672"/>
      <c r="N18" s="672"/>
      <c r="O18" s="600"/>
      <c r="P18" s="672"/>
      <c r="Q18" s="672"/>
    </row>
    <row r="19" spans="1:17" s="239" customFormat="1" ht="24">
      <c r="B19" s="669"/>
      <c r="C19" s="669"/>
      <c r="D19" s="669"/>
      <c r="E19" s="669"/>
      <c r="F19" s="670"/>
      <c r="G19" s="671"/>
      <c r="H19" s="669"/>
      <c r="I19" s="669"/>
      <c r="J19" s="672"/>
      <c r="K19" s="672"/>
      <c r="L19" s="672"/>
      <c r="M19" s="672"/>
      <c r="N19" s="672"/>
      <c r="O19" s="600"/>
      <c r="P19" s="672"/>
      <c r="Q19" s="672"/>
    </row>
    <row r="20" spans="1:17" s="239" customFormat="1" ht="24">
      <c r="B20" s="669"/>
      <c r="C20" s="669"/>
      <c r="D20" s="669"/>
      <c r="E20" s="669"/>
      <c r="F20" s="670"/>
      <c r="G20" s="671"/>
      <c r="H20" s="669"/>
      <c r="I20" s="669"/>
      <c r="J20" s="672"/>
      <c r="K20" s="672"/>
      <c r="L20" s="672"/>
      <c r="M20" s="672"/>
      <c r="N20" s="672"/>
      <c r="O20" s="600"/>
      <c r="P20" s="672"/>
      <c r="Q20" s="672"/>
    </row>
    <row r="21" spans="1:17" s="239" customFormat="1" ht="24">
      <c r="B21" s="669"/>
      <c r="C21" s="669"/>
      <c r="D21" s="669"/>
      <c r="E21" s="669"/>
      <c r="F21" s="670"/>
      <c r="G21" s="671"/>
      <c r="H21" s="669"/>
      <c r="I21" s="669"/>
      <c r="J21" s="672"/>
      <c r="K21" s="672"/>
      <c r="L21" s="672"/>
      <c r="M21" s="672"/>
      <c r="N21" s="672"/>
      <c r="O21" s="600"/>
      <c r="P21" s="672"/>
      <c r="Q21" s="672"/>
    </row>
    <row r="22" spans="1:17" s="239" customFormat="1" ht="24">
      <c r="B22" s="669"/>
      <c r="C22" s="669"/>
      <c r="D22" s="669"/>
      <c r="E22" s="669"/>
      <c r="F22" s="670"/>
      <c r="G22" s="671"/>
      <c r="H22" s="669"/>
      <c r="I22" s="669"/>
      <c r="J22" s="672"/>
      <c r="K22" s="672"/>
      <c r="L22" s="672"/>
      <c r="M22" s="672"/>
      <c r="N22" s="672"/>
      <c r="O22" s="600"/>
      <c r="P22" s="672"/>
      <c r="Q22" s="672"/>
    </row>
    <row r="23" spans="1:17" s="239" customFormat="1" ht="24">
      <c r="B23" s="669"/>
      <c r="C23" s="669"/>
      <c r="D23" s="669"/>
      <c r="E23" s="669"/>
      <c r="F23" s="670"/>
      <c r="G23" s="671"/>
      <c r="H23" s="669"/>
      <c r="I23" s="669"/>
      <c r="J23" s="672"/>
      <c r="K23" s="672"/>
      <c r="L23" s="672"/>
      <c r="M23" s="672"/>
      <c r="N23" s="672"/>
      <c r="O23" s="600"/>
      <c r="P23" s="672"/>
      <c r="Q23" s="672"/>
    </row>
    <row r="24" spans="1:17">
      <c r="G24" s="675"/>
    </row>
    <row r="25" spans="1:17">
      <c r="G25" s="675"/>
    </row>
    <row r="26" spans="1:17">
      <c r="G26" s="675"/>
    </row>
  </sheetData>
  <mergeCells count="21">
    <mergeCell ref="A1:T1"/>
    <mergeCell ref="A3:I3"/>
    <mergeCell ref="J3:Q3"/>
    <mergeCell ref="R3:T3"/>
    <mergeCell ref="A4:A6"/>
    <mergeCell ref="M4:M6"/>
    <mergeCell ref="C4:C6"/>
    <mergeCell ref="L4:L6"/>
    <mergeCell ref="P4:P6"/>
    <mergeCell ref="E4:E6"/>
    <mergeCell ref="H4:H6"/>
    <mergeCell ref="O4:O6"/>
    <mergeCell ref="D4:D6"/>
    <mergeCell ref="K4:K6"/>
    <mergeCell ref="I4:I6"/>
    <mergeCell ref="Q4:Q6"/>
    <mergeCell ref="B4:B6"/>
    <mergeCell ref="N4:N6"/>
    <mergeCell ref="F4:F6"/>
    <mergeCell ref="G4:G6"/>
    <mergeCell ref="J4:J6"/>
  </mergeCells>
  <pageMargins left="0.25" right="0.17" top="0.74803149606299213" bottom="0.74803149606299213" header="0.31496062992125984" footer="0.31496062992125984"/>
  <pageSetup paperSize="9" scale="6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106"/>
  <sheetViews>
    <sheetView topLeftCell="A67" workbookViewId="0">
      <selection activeCell="A81" sqref="A81"/>
    </sheetView>
  </sheetViews>
  <sheetFormatPr defaultRowHeight="24"/>
  <cols>
    <col min="1" max="1" width="9.140625" style="493"/>
    <col min="2" max="2" width="24.140625" style="493" customWidth="1"/>
    <col min="3" max="3" width="15.5703125" style="493" customWidth="1"/>
    <col min="4" max="4" width="16.28515625" style="493" customWidth="1"/>
    <col min="5" max="5" width="15.5703125" style="493" customWidth="1"/>
    <col min="6" max="6" width="15.28515625" style="493" customWidth="1"/>
    <col min="7" max="8" width="16.85546875" style="493" customWidth="1"/>
    <col min="9" max="9" width="17.85546875" style="678" customWidth="1"/>
    <col min="10" max="10" width="31.85546875" style="493" customWidth="1"/>
    <col min="11" max="11" width="16.42578125" style="493" customWidth="1"/>
    <col min="12" max="12" width="15.42578125" style="493" customWidth="1"/>
    <col min="13" max="13" width="13.28515625" style="493" customWidth="1"/>
    <col min="14" max="14" width="13" style="493" customWidth="1"/>
    <col min="15" max="15" width="16.7109375" style="493" customWidth="1"/>
    <col min="16" max="16" width="15" style="493" customWidth="1"/>
    <col min="17" max="17" width="16.85546875" style="678" customWidth="1"/>
    <col min="18" max="18" width="7.85546875" style="264" bestFit="1" customWidth="1"/>
    <col min="19" max="19" width="12.85546875" style="264" customWidth="1"/>
    <col min="20" max="20" width="9.28515625" style="264" customWidth="1"/>
    <col min="21" max="21" width="15.140625" style="493" bestFit="1" customWidth="1"/>
    <col min="22" max="22" width="16" style="493" bestFit="1" customWidth="1"/>
    <col min="23" max="23" width="14.5703125" style="493" bestFit="1" customWidth="1"/>
    <col min="24" max="16384" width="9.140625" style="493"/>
  </cols>
  <sheetData>
    <row r="1" spans="1:22" ht="30.75">
      <c r="A1" s="977" t="s">
        <v>1558</v>
      </c>
      <c r="B1" s="977"/>
      <c r="C1" s="977"/>
      <c r="D1" s="977"/>
      <c r="E1" s="977"/>
      <c r="F1" s="977"/>
      <c r="G1" s="977"/>
      <c r="H1" s="977"/>
      <c r="I1" s="977"/>
      <c r="J1" s="977"/>
      <c r="K1" s="977"/>
      <c r="L1" s="977"/>
      <c r="M1" s="977"/>
      <c r="N1" s="977"/>
      <c r="O1" s="977"/>
      <c r="P1" s="977"/>
      <c r="Q1" s="977"/>
      <c r="R1" s="977"/>
      <c r="S1" s="977"/>
      <c r="T1" s="977"/>
    </row>
    <row r="2" spans="1:22" ht="9.75" customHeight="1">
      <c r="A2" s="492"/>
      <c r="B2" s="492"/>
      <c r="C2" s="492"/>
      <c r="D2" s="492"/>
      <c r="E2" s="492"/>
      <c r="F2" s="492"/>
      <c r="G2" s="492"/>
      <c r="H2" s="481"/>
      <c r="I2" s="677"/>
      <c r="J2" s="492"/>
      <c r="K2" s="492"/>
      <c r="L2" s="492"/>
      <c r="M2" s="492"/>
      <c r="N2" s="492"/>
      <c r="O2" s="492"/>
      <c r="P2" s="492"/>
      <c r="Q2" s="677"/>
    </row>
    <row r="3" spans="1:22" s="558" customFormat="1" ht="30.75">
      <c r="A3" s="967" t="s">
        <v>441</v>
      </c>
      <c r="B3" s="967"/>
      <c r="C3" s="967"/>
      <c r="D3" s="967"/>
      <c r="E3" s="967"/>
      <c r="F3" s="967"/>
      <c r="G3" s="967"/>
      <c r="H3" s="967"/>
      <c r="I3" s="967"/>
      <c r="J3" s="967"/>
      <c r="K3" s="967"/>
      <c r="L3" s="967"/>
      <c r="M3" s="967"/>
      <c r="N3" s="967"/>
      <c r="O3" s="967"/>
      <c r="P3" s="967"/>
      <c r="Q3" s="678"/>
      <c r="R3" s="264"/>
      <c r="S3" s="264"/>
      <c r="T3" s="264"/>
    </row>
    <row r="4" spans="1:22" ht="21.75" customHeight="1">
      <c r="A4" s="991" t="s">
        <v>213</v>
      </c>
      <c r="B4" s="991"/>
      <c r="C4" s="1059" t="s">
        <v>1524</v>
      </c>
      <c r="D4" s="1060"/>
      <c r="E4" s="1060"/>
      <c r="F4" s="1060"/>
      <c r="G4" s="1060"/>
      <c r="H4" s="1060"/>
      <c r="I4" s="1051"/>
      <c r="J4" s="1051" t="s">
        <v>213</v>
      </c>
      <c r="K4" s="1054" t="s">
        <v>1559</v>
      </c>
      <c r="L4" s="1054"/>
      <c r="M4" s="1054"/>
      <c r="N4" s="1054"/>
      <c r="O4" s="1054"/>
      <c r="P4" s="1054"/>
      <c r="Q4" s="1054"/>
      <c r="R4" s="679" t="s">
        <v>425</v>
      </c>
      <c r="S4" s="679" t="s">
        <v>425</v>
      </c>
      <c r="T4" s="679" t="s">
        <v>351</v>
      </c>
    </row>
    <row r="5" spans="1:22" ht="21.75">
      <c r="A5" s="1058"/>
      <c r="B5" s="1058"/>
      <c r="C5" s="1054" t="s">
        <v>442</v>
      </c>
      <c r="D5" s="1054"/>
      <c r="E5" s="1002" t="s">
        <v>443</v>
      </c>
      <c r="F5" s="1002"/>
      <c r="G5" s="1002"/>
      <c r="H5" s="1002"/>
      <c r="I5" s="1046" t="s">
        <v>361</v>
      </c>
      <c r="J5" s="1052"/>
      <c r="K5" s="1042" t="s">
        <v>442</v>
      </c>
      <c r="L5" s="1043"/>
      <c r="M5" s="1044" t="s">
        <v>443</v>
      </c>
      <c r="N5" s="1045"/>
      <c r="O5" s="1045"/>
      <c r="P5" s="1043"/>
      <c r="Q5" s="1046" t="s">
        <v>361</v>
      </c>
      <c r="R5" s="680" t="s">
        <v>444</v>
      </c>
      <c r="S5" s="680" t="s">
        <v>445</v>
      </c>
      <c r="T5" s="680" t="s">
        <v>446</v>
      </c>
    </row>
    <row r="6" spans="1:22" ht="21.75">
      <c r="A6" s="1058"/>
      <c r="B6" s="1058"/>
      <c r="C6" s="991" t="s">
        <v>7</v>
      </c>
      <c r="D6" s="991" t="s">
        <v>1</v>
      </c>
      <c r="E6" s="991" t="s">
        <v>447</v>
      </c>
      <c r="F6" s="991" t="s">
        <v>11</v>
      </c>
      <c r="G6" s="991" t="s">
        <v>448</v>
      </c>
      <c r="H6" s="991" t="s">
        <v>1</v>
      </c>
      <c r="I6" s="1047"/>
      <c r="J6" s="1052"/>
      <c r="K6" s="991" t="s">
        <v>7</v>
      </c>
      <c r="L6" s="991" t="s">
        <v>1</v>
      </c>
      <c r="M6" s="991" t="s">
        <v>447</v>
      </c>
      <c r="N6" s="991" t="s">
        <v>11</v>
      </c>
      <c r="O6" s="1056" t="s">
        <v>448</v>
      </c>
      <c r="P6" s="991" t="s">
        <v>1</v>
      </c>
      <c r="Q6" s="1047"/>
      <c r="R6" s="680" t="s">
        <v>449</v>
      </c>
      <c r="S6" s="680" t="s">
        <v>446</v>
      </c>
      <c r="T6" s="680" t="s">
        <v>450</v>
      </c>
    </row>
    <row r="7" spans="1:22" ht="16.5" customHeight="1">
      <c r="A7" s="1041"/>
      <c r="B7" s="1041"/>
      <c r="C7" s="1041"/>
      <c r="D7" s="1041"/>
      <c r="E7" s="1041"/>
      <c r="F7" s="1041"/>
      <c r="G7" s="1041"/>
      <c r="H7" s="1041"/>
      <c r="I7" s="1048"/>
      <c r="J7" s="1053"/>
      <c r="K7" s="1041"/>
      <c r="L7" s="1041"/>
      <c r="M7" s="1041"/>
      <c r="N7" s="1041"/>
      <c r="O7" s="1057"/>
      <c r="P7" s="1041"/>
      <c r="Q7" s="1048"/>
      <c r="R7" s="681"/>
      <c r="S7" s="682" t="s">
        <v>451</v>
      </c>
      <c r="T7" s="681"/>
    </row>
    <row r="8" spans="1:22" ht="21.75">
      <c r="A8" s="1061" t="s">
        <v>226</v>
      </c>
      <c r="B8" s="1061"/>
      <c r="C8" s="684"/>
      <c r="D8" s="685"/>
      <c r="E8" s="685"/>
      <c r="F8" s="685"/>
      <c r="G8" s="685"/>
      <c r="H8" s="686"/>
      <c r="I8" s="687"/>
      <c r="J8" s="683" t="s">
        <v>226</v>
      </c>
      <c r="K8" s="688"/>
      <c r="L8" s="685"/>
      <c r="M8" s="685"/>
      <c r="N8" s="685"/>
      <c r="O8" s="685"/>
      <c r="P8" s="686"/>
      <c r="Q8" s="689"/>
      <c r="R8" s="685"/>
      <c r="S8" s="685"/>
      <c r="T8" s="579"/>
      <c r="U8" s="507"/>
      <c r="V8" s="507"/>
    </row>
    <row r="9" spans="1:22" ht="21.75">
      <c r="A9" s="690" t="s">
        <v>312</v>
      </c>
      <c r="B9" s="587"/>
      <c r="C9" s="691">
        <v>1162743.48</v>
      </c>
      <c r="D9" s="587">
        <f>SUM(C9)</f>
        <v>1162743.48</v>
      </c>
      <c r="E9" s="587">
        <v>156027.92000000001</v>
      </c>
      <c r="F9" s="587">
        <v>0</v>
      </c>
      <c r="G9" s="587">
        <v>36671.43</v>
      </c>
      <c r="H9" s="692">
        <f>SUM(E9:G9)</f>
        <v>192699.35</v>
      </c>
      <c r="I9" s="693">
        <f>D9+H9</f>
        <v>1355442.83</v>
      </c>
      <c r="J9" s="690" t="s">
        <v>312</v>
      </c>
      <c r="K9" s="587">
        <f>'ตาราง 2'!B6</f>
        <v>1685688.97</v>
      </c>
      <c r="L9" s="587">
        <f>SUM(K9)</f>
        <v>1685688.97</v>
      </c>
      <c r="M9" s="587">
        <f>'ตาราง 2'!C6</f>
        <v>7634.45</v>
      </c>
      <c r="N9" s="587">
        <f>'ตาราง 2'!D6</f>
        <v>6281.06</v>
      </c>
      <c r="O9" s="587">
        <f>'ตาราง 2'!E6</f>
        <v>33362.409277456645</v>
      </c>
      <c r="P9" s="692">
        <f>SUM(M9:O9)</f>
        <v>47277.919277456647</v>
      </c>
      <c r="Q9" s="694">
        <f t="shared" ref="Q9:Q36" si="0">L9+P9</f>
        <v>1732966.8892774566</v>
      </c>
      <c r="R9" s="640">
        <f>+(L9-D9)/D9*100</f>
        <v>44.975138454442245</v>
      </c>
      <c r="S9" s="640">
        <f t="shared" ref="S9:T24" si="1">+(P9-H9)/H9*100</f>
        <v>-75.465449531896894</v>
      </c>
      <c r="T9" s="640">
        <f t="shared" si="1"/>
        <v>27.852451680124084</v>
      </c>
      <c r="U9" s="534"/>
      <c r="V9" s="534"/>
    </row>
    <row r="10" spans="1:22" ht="21.75">
      <c r="A10" s="690" t="s">
        <v>313</v>
      </c>
      <c r="B10" s="587"/>
      <c r="C10" s="691">
        <v>1351276.81</v>
      </c>
      <c r="D10" s="587">
        <f t="shared" ref="D10:D74" si="2">SUM(C10)</f>
        <v>1351276.81</v>
      </c>
      <c r="E10" s="587">
        <v>237324.95</v>
      </c>
      <c r="F10" s="587">
        <v>77332.28</v>
      </c>
      <c r="G10" s="587">
        <v>73342.86</v>
      </c>
      <c r="H10" s="692">
        <f t="shared" ref="H10:H36" si="3">SUM(E10:G10)</f>
        <v>388000.08999999997</v>
      </c>
      <c r="I10" s="693">
        <f t="shared" ref="I10:I76" si="4">D10+H10</f>
        <v>1739276.9</v>
      </c>
      <c r="J10" s="690" t="s">
        <v>313</v>
      </c>
      <c r="K10" s="587">
        <f>'ตาราง 2'!B7</f>
        <v>2366428.9699999997</v>
      </c>
      <c r="L10" s="587">
        <f t="shared" ref="L10:L36" si="5">SUM(K10)</f>
        <v>2366428.9699999997</v>
      </c>
      <c r="M10" s="587">
        <f>'ตาราง 2'!C7</f>
        <v>263999.67000000004</v>
      </c>
      <c r="N10" s="587">
        <f>'ตาราง 2'!D7</f>
        <v>9161.0600000000013</v>
      </c>
      <c r="O10" s="587">
        <f>'ตาราง 2'!E7</f>
        <v>100087.22783236994</v>
      </c>
      <c r="P10" s="692">
        <f t="shared" ref="P10:P36" si="6">SUM(M10:O10)</f>
        <v>373247.95783236995</v>
      </c>
      <c r="Q10" s="694">
        <f t="shared" si="0"/>
        <v>2739676.9278323697</v>
      </c>
      <c r="R10" s="640">
        <f t="shared" ref="R10:R36" si="7">+(L10-D10)/D10*100</f>
        <v>75.125403802348956</v>
      </c>
      <c r="S10" s="640">
        <f t="shared" si="1"/>
        <v>-3.8020950375630109</v>
      </c>
      <c r="T10" s="640">
        <f t="shared" si="1"/>
        <v>57.51815756492654</v>
      </c>
      <c r="U10" s="534"/>
      <c r="V10" s="534"/>
    </row>
    <row r="11" spans="1:22" ht="21.75">
      <c r="A11" s="690" t="s">
        <v>314</v>
      </c>
      <c r="B11" s="587"/>
      <c r="C11" s="691">
        <v>1272299.1599999999</v>
      </c>
      <c r="D11" s="587">
        <f>SUM(C11)</f>
        <v>1272299.1599999999</v>
      </c>
      <c r="E11" s="587">
        <v>163807.92000000001</v>
      </c>
      <c r="F11" s="587">
        <v>0</v>
      </c>
      <c r="G11" s="587">
        <v>36671.43</v>
      </c>
      <c r="H11" s="692">
        <f t="shared" si="3"/>
        <v>200479.35</v>
      </c>
      <c r="I11" s="693">
        <f t="shared" si="4"/>
        <v>1472778.51</v>
      </c>
      <c r="J11" s="690" t="s">
        <v>314</v>
      </c>
      <c r="K11" s="587">
        <f>'ตาราง 2'!B8</f>
        <v>1501804.65</v>
      </c>
      <c r="L11" s="587">
        <f t="shared" si="5"/>
        <v>1501804.65</v>
      </c>
      <c r="M11" s="587">
        <f>'ตาราง 2'!C8</f>
        <v>208177.04000000004</v>
      </c>
      <c r="N11" s="587">
        <f>'ตาราง 2'!D8</f>
        <v>6281.06</v>
      </c>
      <c r="O11" s="587">
        <f>'ตาราง 2'!E8</f>
        <v>33362.409277456645</v>
      </c>
      <c r="P11" s="692">
        <f t="shared" si="6"/>
        <v>247820.50927745667</v>
      </c>
      <c r="Q11" s="694">
        <f t="shared" si="0"/>
        <v>1749625.1592774566</v>
      </c>
      <c r="R11" s="640">
        <f t="shared" si="7"/>
        <v>18.038641949586761</v>
      </c>
      <c r="S11" s="640">
        <f t="shared" si="1"/>
        <v>23.613982825391574</v>
      </c>
      <c r="T11" s="640">
        <f t="shared" si="1"/>
        <v>18.797575290357582</v>
      </c>
      <c r="U11" s="534"/>
      <c r="V11" s="534"/>
    </row>
    <row r="12" spans="1:22" ht="21.75">
      <c r="A12" s="690" t="s">
        <v>315</v>
      </c>
      <c r="B12" s="587"/>
      <c r="C12" s="691">
        <v>3445820.97</v>
      </c>
      <c r="D12" s="587">
        <f t="shared" si="2"/>
        <v>3445820.97</v>
      </c>
      <c r="E12" s="587">
        <v>233415.72</v>
      </c>
      <c r="F12" s="587">
        <v>78726.25</v>
      </c>
      <c r="G12" s="587">
        <v>146685.72</v>
      </c>
      <c r="H12" s="692">
        <f t="shared" si="3"/>
        <v>458827.68999999994</v>
      </c>
      <c r="I12" s="693">
        <f t="shared" si="4"/>
        <v>3904648.66</v>
      </c>
      <c r="J12" s="690" t="s">
        <v>315</v>
      </c>
      <c r="K12" s="587">
        <f>'ตาราง 2'!B9</f>
        <v>4796508.97</v>
      </c>
      <c r="L12" s="587">
        <f t="shared" si="5"/>
        <v>4796508.97</v>
      </c>
      <c r="M12" s="587">
        <f>'ตาราง 2'!C9</f>
        <v>324867.91000000003</v>
      </c>
      <c r="N12" s="587">
        <f>'ตาราง 2'!D9</f>
        <v>16943.060000000001</v>
      </c>
      <c r="O12" s="587">
        <f>'ตาราง 2'!E9</f>
        <v>166812.04638728322</v>
      </c>
      <c r="P12" s="692">
        <f t="shared" si="6"/>
        <v>508623.01638728322</v>
      </c>
      <c r="Q12" s="694">
        <f t="shared" si="0"/>
        <v>5305131.9863872826</v>
      </c>
      <c r="R12" s="640">
        <f t="shared" si="7"/>
        <v>39.197857687887932</v>
      </c>
      <c r="S12" s="640">
        <f t="shared" si="1"/>
        <v>10.852729133955121</v>
      </c>
      <c r="T12" s="640">
        <f t="shared" si="1"/>
        <v>35.867076613937456</v>
      </c>
      <c r="U12" s="534"/>
      <c r="V12" s="534"/>
    </row>
    <row r="13" spans="1:22" ht="21.75">
      <c r="A13" s="690" t="s">
        <v>316</v>
      </c>
      <c r="B13" s="587"/>
      <c r="C13" s="691">
        <v>1952103.48</v>
      </c>
      <c r="D13" s="587">
        <f t="shared" si="2"/>
        <v>1952103.48</v>
      </c>
      <c r="E13" s="587">
        <v>165827.92000000001</v>
      </c>
      <c r="F13" s="587">
        <v>0</v>
      </c>
      <c r="G13" s="587">
        <v>110014.29</v>
      </c>
      <c r="H13" s="692">
        <f t="shared" si="3"/>
        <v>275842.21000000002</v>
      </c>
      <c r="I13" s="693">
        <f t="shared" si="4"/>
        <v>2227945.69</v>
      </c>
      <c r="J13" s="690" t="s">
        <v>316</v>
      </c>
      <c r="K13" s="587">
        <f>'ตาราง 2'!B10</f>
        <v>3993509.1399999997</v>
      </c>
      <c r="L13" s="587">
        <f t="shared" si="5"/>
        <v>3993509.1399999997</v>
      </c>
      <c r="M13" s="587">
        <f>'ตาราง 2'!C10</f>
        <v>197656.46000000002</v>
      </c>
      <c r="N13" s="587">
        <f>'ตาราง 2'!D10</f>
        <v>11371.060000000001</v>
      </c>
      <c r="O13" s="587">
        <f>'ตาราง 2'!E10</f>
        <v>100087.22783236994</v>
      </c>
      <c r="P13" s="692">
        <f t="shared" si="6"/>
        <v>309114.74783236999</v>
      </c>
      <c r="Q13" s="694">
        <f t="shared" si="0"/>
        <v>4302623.8878323697</v>
      </c>
      <c r="R13" s="640">
        <f t="shared" si="7"/>
        <v>104.574664248844</v>
      </c>
      <c r="S13" s="640">
        <f t="shared" si="1"/>
        <v>12.062163304292685</v>
      </c>
      <c r="T13" s="640">
        <f t="shared" si="1"/>
        <v>93.120680954856212</v>
      </c>
      <c r="U13" s="534"/>
      <c r="V13" s="534"/>
    </row>
    <row r="14" spans="1:22" ht="21.75">
      <c r="A14" s="690" t="s">
        <v>317</v>
      </c>
      <c r="B14" s="587"/>
      <c r="C14" s="691"/>
      <c r="D14" s="587">
        <f t="shared" si="2"/>
        <v>0</v>
      </c>
      <c r="E14" s="587"/>
      <c r="F14" s="587"/>
      <c r="G14" s="587"/>
      <c r="H14" s="692">
        <f t="shared" si="3"/>
        <v>0</v>
      </c>
      <c r="I14" s="693">
        <f t="shared" si="4"/>
        <v>0</v>
      </c>
      <c r="J14" s="690" t="s">
        <v>317</v>
      </c>
      <c r="K14" s="587">
        <f>'ตาราง 2'!B11</f>
        <v>0</v>
      </c>
      <c r="L14" s="587">
        <f t="shared" si="5"/>
        <v>0</v>
      </c>
      <c r="M14" s="587">
        <f>'ตาราง 2'!C11</f>
        <v>0</v>
      </c>
      <c r="N14" s="587">
        <f>'ตาราง 2'!D11</f>
        <v>0</v>
      </c>
      <c r="O14" s="587">
        <f>'ตาราง 2'!E11</f>
        <v>0</v>
      </c>
      <c r="P14" s="692">
        <f t="shared" si="6"/>
        <v>0</v>
      </c>
      <c r="Q14" s="694">
        <f t="shared" si="0"/>
        <v>0</v>
      </c>
      <c r="R14" s="640">
        <v>0</v>
      </c>
      <c r="S14" s="640"/>
      <c r="T14" s="640"/>
      <c r="U14" s="534"/>
      <c r="V14" s="534"/>
    </row>
    <row r="15" spans="1:22" ht="21.75">
      <c r="A15" s="690" t="s">
        <v>318</v>
      </c>
      <c r="B15" s="587"/>
      <c r="C15" s="691">
        <v>10525885.380000001</v>
      </c>
      <c r="D15" s="587">
        <f t="shared" si="2"/>
        <v>10525885.380000001</v>
      </c>
      <c r="E15" s="587">
        <v>201264.52</v>
      </c>
      <c r="F15" s="587">
        <v>0</v>
      </c>
      <c r="G15" s="587">
        <v>953457.16</v>
      </c>
      <c r="H15" s="692">
        <f t="shared" si="3"/>
        <v>1154721.68</v>
      </c>
      <c r="I15" s="693">
        <f t="shared" si="4"/>
        <v>11680607.060000001</v>
      </c>
      <c r="J15" s="690" t="s">
        <v>318</v>
      </c>
      <c r="K15" s="587">
        <f>'ตาราง 2'!B12</f>
        <v>14052494.309999999</v>
      </c>
      <c r="L15" s="587">
        <f t="shared" si="5"/>
        <v>14052494.309999999</v>
      </c>
      <c r="M15" s="587">
        <f>'ตาราง 2'!C12</f>
        <v>348327.46</v>
      </c>
      <c r="N15" s="587">
        <f>'ตาราง 2'!D12</f>
        <v>20642.060000000001</v>
      </c>
      <c r="O15" s="587">
        <f>'ตาราง 2'!E12</f>
        <v>834060.23193641624</v>
      </c>
      <c r="P15" s="692">
        <f t="shared" si="6"/>
        <v>1203029.7519364161</v>
      </c>
      <c r="Q15" s="694">
        <f t="shared" si="0"/>
        <v>15255524.061936416</v>
      </c>
      <c r="R15" s="640">
        <f t="shared" si="7"/>
        <v>33.504154783034487</v>
      </c>
      <c r="S15" s="640">
        <f t="shared" si="1"/>
        <v>4.1835251535604847</v>
      </c>
      <c r="T15" s="640">
        <f t="shared" si="1"/>
        <v>30.605575408650164</v>
      </c>
      <c r="U15" s="534"/>
      <c r="V15" s="534"/>
    </row>
    <row r="16" spans="1:22" ht="21.75">
      <c r="A16" s="690" t="s">
        <v>319</v>
      </c>
      <c r="B16" s="695"/>
      <c r="C16" s="691">
        <v>5743485.54</v>
      </c>
      <c r="D16" s="587">
        <f t="shared" si="2"/>
        <v>5743485.54</v>
      </c>
      <c r="E16" s="587">
        <v>199022.92</v>
      </c>
      <c r="F16" s="587">
        <v>0</v>
      </c>
      <c r="G16" s="587">
        <v>476728.58</v>
      </c>
      <c r="H16" s="692">
        <f t="shared" si="3"/>
        <v>675751.5</v>
      </c>
      <c r="I16" s="693">
        <f t="shared" si="4"/>
        <v>6419237.04</v>
      </c>
      <c r="J16" s="690" t="s">
        <v>319</v>
      </c>
      <c r="K16" s="587">
        <f>'ตาราง 2'!B13</f>
        <v>7577704.370000001</v>
      </c>
      <c r="L16" s="587">
        <f t="shared" si="5"/>
        <v>7577704.370000001</v>
      </c>
      <c r="M16" s="587">
        <f>'ตาราง 2'!C13</f>
        <v>175951.16000000003</v>
      </c>
      <c r="N16" s="587">
        <f>'ตาราง 2'!D13</f>
        <v>13486.720000000001</v>
      </c>
      <c r="O16" s="587">
        <f>'ตาราง 2'!E13</f>
        <v>433711.32060693641</v>
      </c>
      <c r="P16" s="692">
        <f t="shared" si="6"/>
        <v>623149.20060693647</v>
      </c>
      <c r="Q16" s="694">
        <f t="shared" si="0"/>
        <v>8200853.5706069376</v>
      </c>
      <c r="R16" s="640">
        <f t="shared" si="7"/>
        <v>31.935639381796037</v>
      </c>
      <c r="S16" s="640">
        <f t="shared" si="1"/>
        <v>-7.7842667597576218</v>
      </c>
      <c r="T16" s="640">
        <f t="shared" si="1"/>
        <v>27.754334658545925</v>
      </c>
      <c r="U16" s="534"/>
      <c r="V16" s="534"/>
    </row>
    <row r="17" spans="1:22" ht="21.75">
      <c r="A17" s="690" t="s">
        <v>320</v>
      </c>
      <c r="B17" s="695"/>
      <c r="C17" s="691">
        <v>5707925.3799999999</v>
      </c>
      <c r="D17" s="587">
        <f t="shared" si="2"/>
        <v>5707925.3799999999</v>
      </c>
      <c r="E17" s="695">
        <v>208143.34</v>
      </c>
      <c r="F17" s="587">
        <v>0</v>
      </c>
      <c r="G17" s="587">
        <v>586742.87</v>
      </c>
      <c r="H17" s="692">
        <f t="shared" si="3"/>
        <v>794886.21</v>
      </c>
      <c r="I17" s="693">
        <f t="shared" si="4"/>
        <v>6502811.5899999999</v>
      </c>
      <c r="J17" s="690" t="s">
        <v>320</v>
      </c>
      <c r="K17" s="587">
        <f>'ตาราง 2'!B14</f>
        <v>7087415.9799999995</v>
      </c>
      <c r="L17" s="587">
        <f t="shared" si="5"/>
        <v>7087415.9799999995</v>
      </c>
      <c r="M17" s="587">
        <f>'ตาราง 2'!C14</f>
        <v>231798.46000000002</v>
      </c>
      <c r="N17" s="587">
        <f>'ตาราง 2'!D14</f>
        <v>16751.060000000001</v>
      </c>
      <c r="O17" s="587">
        <f>'ตาราง 2'!E14</f>
        <v>300261.6834971098</v>
      </c>
      <c r="P17" s="692">
        <f t="shared" si="6"/>
        <v>548811.20349710982</v>
      </c>
      <c r="Q17" s="694">
        <f t="shared" si="0"/>
        <v>7636227.1834971095</v>
      </c>
      <c r="R17" s="640">
        <f t="shared" si="7"/>
        <v>24.16798588211396</v>
      </c>
      <c r="S17" s="640">
        <f t="shared" si="1"/>
        <v>-30.957261983811513</v>
      </c>
      <c r="T17" s="640">
        <f t="shared" si="1"/>
        <v>17.429623752902081</v>
      </c>
      <c r="U17" s="534"/>
      <c r="V17" s="534"/>
    </row>
    <row r="18" spans="1:22" ht="21.75">
      <c r="A18" s="690" t="s">
        <v>321</v>
      </c>
      <c r="B18" s="587"/>
      <c r="C18" s="691">
        <v>1896975.38</v>
      </c>
      <c r="D18" s="587">
        <f t="shared" si="2"/>
        <v>1896975.38</v>
      </c>
      <c r="E18" s="587">
        <v>165107.92000000001</v>
      </c>
      <c r="F18" s="587">
        <v>0</v>
      </c>
      <c r="G18" s="587">
        <v>183357.15</v>
      </c>
      <c r="H18" s="692">
        <f t="shared" si="3"/>
        <v>348465.07</v>
      </c>
      <c r="I18" s="693">
        <f t="shared" si="4"/>
        <v>2245440.4499999997</v>
      </c>
      <c r="J18" s="690" t="s">
        <v>321</v>
      </c>
      <c r="K18" s="587">
        <f>'ตาราง 2'!B15</f>
        <v>1388654.0699999998</v>
      </c>
      <c r="L18" s="587">
        <f t="shared" si="5"/>
        <v>1388654.0699999998</v>
      </c>
      <c r="M18" s="587">
        <f>'ตาราง 2'!C15</f>
        <v>7634.45</v>
      </c>
      <c r="N18" s="587">
        <f>'ตาราง 2'!D15</f>
        <v>6521.06</v>
      </c>
      <c r="O18" s="587">
        <f>'ตาราง 2'!E15</f>
        <v>200174.45566473989</v>
      </c>
      <c r="P18" s="692">
        <f t="shared" si="6"/>
        <v>214329.9656647399</v>
      </c>
      <c r="Q18" s="694">
        <f t="shared" si="0"/>
        <v>1602984.0356647398</v>
      </c>
      <c r="R18" s="640">
        <f t="shared" si="7"/>
        <v>-26.796410504811092</v>
      </c>
      <c r="S18" s="640">
        <f t="shared" si="1"/>
        <v>-38.493127685727615</v>
      </c>
      <c r="T18" s="640">
        <f t="shared" si="1"/>
        <v>-28.611598866283007</v>
      </c>
      <c r="U18" s="534"/>
      <c r="V18" s="534"/>
    </row>
    <row r="19" spans="1:22" ht="21.75">
      <c r="A19" s="690" t="s">
        <v>322</v>
      </c>
      <c r="B19" s="587"/>
      <c r="C19" s="691">
        <v>1734515.89</v>
      </c>
      <c r="D19" s="587">
        <f t="shared" si="2"/>
        <v>1734515.89</v>
      </c>
      <c r="E19" s="587">
        <v>155147.92000000001</v>
      </c>
      <c r="F19" s="587">
        <v>40586.78</v>
      </c>
      <c r="G19" s="587">
        <v>256700</v>
      </c>
      <c r="H19" s="692">
        <f t="shared" si="3"/>
        <v>452434.7</v>
      </c>
      <c r="I19" s="693">
        <f t="shared" si="4"/>
        <v>2186950.59</v>
      </c>
      <c r="J19" s="690" t="s">
        <v>322</v>
      </c>
      <c r="K19" s="587">
        <f>'ตาราง 2'!B16</f>
        <v>1117879.08</v>
      </c>
      <c r="L19" s="587">
        <f t="shared" si="5"/>
        <v>1117879.08</v>
      </c>
      <c r="M19" s="587">
        <f>'ตาราง 2'!C16</f>
        <v>167501.46000000002</v>
      </c>
      <c r="N19" s="587">
        <f>'ตาราง 2'!D16</f>
        <v>23240.660000000003</v>
      </c>
      <c r="O19" s="587">
        <f>'ตาราง 2'!E16</f>
        <v>133449.63710982658</v>
      </c>
      <c r="P19" s="692">
        <f t="shared" si="6"/>
        <v>324191.75710982661</v>
      </c>
      <c r="Q19" s="694">
        <f t="shared" si="0"/>
        <v>1442070.8371098267</v>
      </c>
      <c r="R19" s="640">
        <f t="shared" si="7"/>
        <v>-35.550946149014514</v>
      </c>
      <c r="S19" s="640">
        <f t="shared" si="1"/>
        <v>-28.345072314341362</v>
      </c>
      <c r="T19" s="640">
        <f t="shared" si="1"/>
        <v>-34.060200367406253</v>
      </c>
      <c r="U19" s="534"/>
      <c r="V19" s="534"/>
    </row>
    <row r="20" spans="1:22" ht="21.75">
      <c r="A20" s="690" t="s">
        <v>250</v>
      </c>
      <c r="B20" s="587"/>
      <c r="C20" s="691">
        <v>1845602.8</v>
      </c>
      <c r="D20" s="587">
        <f t="shared" si="2"/>
        <v>1845602.8</v>
      </c>
      <c r="E20" s="587">
        <v>166131.99</v>
      </c>
      <c r="F20" s="587">
        <v>0</v>
      </c>
      <c r="G20" s="587">
        <v>183357.15</v>
      </c>
      <c r="H20" s="692">
        <f t="shared" si="3"/>
        <v>349489.14</v>
      </c>
      <c r="I20" s="693">
        <f t="shared" si="4"/>
        <v>2195091.94</v>
      </c>
      <c r="J20" s="690" t="s">
        <v>250</v>
      </c>
      <c r="K20" s="587">
        <f>'ตาราง 2'!B17</f>
        <v>1536578.39</v>
      </c>
      <c r="L20" s="587">
        <f t="shared" si="5"/>
        <v>1536578.39</v>
      </c>
      <c r="M20" s="587">
        <f>'ตาราง 2'!C17</f>
        <v>177901.93000000002</v>
      </c>
      <c r="N20" s="587">
        <f>'ตาราง 2'!D17</f>
        <v>6281.06</v>
      </c>
      <c r="O20" s="587">
        <f>'ตาราง 2'!E17</f>
        <v>166812.04638728322</v>
      </c>
      <c r="P20" s="692">
        <f t="shared" si="6"/>
        <v>350995.03638728324</v>
      </c>
      <c r="Q20" s="694">
        <f t="shared" si="0"/>
        <v>1887573.426387283</v>
      </c>
      <c r="R20" s="640">
        <f t="shared" si="7"/>
        <v>-16.743819959527595</v>
      </c>
      <c r="S20" s="640">
        <f t="shared" si="1"/>
        <v>0.4308850304427842</v>
      </c>
      <c r="T20" s="640">
        <f t="shared" si="1"/>
        <v>-14.009368264215711</v>
      </c>
      <c r="U20" s="534"/>
      <c r="V20" s="534"/>
    </row>
    <row r="21" spans="1:22" ht="21.75">
      <c r="A21" s="690" t="s">
        <v>323</v>
      </c>
      <c r="B21" s="587"/>
      <c r="C21" s="691">
        <v>7578595.3799999999</v>
      </c>
      <c r="D21" s="587">
        <f t="shared" si="2"/>
        <v>7578595.3799999999</v>
      </c>
      <c r="E21" s="587">
        <v>274750.92</v>
      </c>
      <c r="F21" s="587">
        <v>39256.78</v>
      </c>
      <c r="G21" s="587">
        <v>806771.44</v>
      </c>
      <c r="H21" s="692">
        <f t="shared" si="3"/>
        <v>1120779.1399999999</v>
      </c>
      <c r="I21" s="693">
        <f t="shared" si="4"/>
        <v>8699374.5199999996</v>
      </c>
      <c r="J21" s="690" t="s">
        <v>323</v>
      </c>
      <c r="K21" s="587">
        <f>'ตาราง 2'!B18</f>
        <v>10254601.109999999</v>
      </c>
      <c r="L21" s="587">
        <f t="shared" si="5"/>
        <v>10254601.109999999</v>
      </c>
      <c r="M21" s="587">
        <f>'ตาราง 2'!C18</f>
        <v>187909.46000000002</v>
      </c>
      <c r="N21" s="587">
        <f>'ตาราง 2'!D18</f>
        <v>9683.0600000000013</v>
      </c>
      <c r="O21" s="587">
        <f>'ตาราง 2'!E18</f>
        <v>733973.00410404615</v>
      </c>
      <c r="P21" s="692">
        <f t="shared" si="6"/>
        <v>931565.52410404617</v>
      </c>
      <c r="Q21" s="694">
        <f t="shared" si="0"/>
        <v>11186166.634104045</v>
      </c>
      <c r="R21" s="640">
        <f t="shared" si="7"/>
        <v>35.310048839155726</v>
      </c>
      <c r="S21" s="640">
        <f t="shared" si="1"/>
        <v>-16.882328475167171</v>
      </c>
      <c r="T21" s="640">
        <f t="shared" si="1"/>
        <v>28.585872563445463</v>
      </c>
      <c r="U21" s="534"/>
      <c r="V21" s="534"/>
    </row>
    <row r="22" spans="1:22" ht="21.75">
      <c r="A22" s="690" t="s">
        <v>452</v>
      </c>
      <c r="B22" s="587"/>
      <c r="C22" s="691">
        <v>1528892.8</v>
      </c>
      <c r="D22" s="587">
        <f t="shared" si="2"/>
        <v>1528892.8</v>
      </c>
      <c r="E22" s="587">
        <v>156843.92000000001</v>
      </c>
      <c r="F22" s="587">
        <v>39256.78</v>
      </c>
      <c r="G22" s="587">
        <v>73342.86</v>
      </c>
      <c r="H22" s="692">
        <f t="shared" si="3"/>
        <v>269443.56</v>
      </c>
      <c r="I22" s="693">
        <f t="shared" si="4"/>
        <v>1798336.36</v>
      </c>
      <c r="J22" s="690" t="s">
        <v>452</v>
      </c>
      <c r="K22" s="587">
        <f>'ตาราง 2'!B19</f>
        <v>1181887.22</v>
      </c>
      <c r="L22" s="587">
        <f t="shared" si="5"/>
        <v>1181887.22</v>
      </c>
      <c r="M22" s="587">
        <f>'ตาราง 2'!C19</f>
        <v>158451.46000000002</v>
      </c>
      <c r="N22" s="587">
        <f>'ตาราง 2'!D19</f>
        <v>6281.06</v>
      </c>
      <c r="O22" s="587">
        <f>'ตาราง 2'!E19</f>
        <v>66724.81855491329</v>
      </c>
      <c r="P22" s="692">
        <f t="shared" si="6"/>
        <v>231457.33855491329</v>
      </c>
      <c r="Q22" s="694">
        <f t="shared" si="0"/>
        <v>1413344.5585549134</v>
      </c>
      <c r="R22" s="640">
        <f t="shared" si="7"/>
        <v>-22.696527840277621</v>
      </c>
      <c r="S22" s="640">
        <f t="shared" si="1"/>
        <v>-14.098025369426793</v>
      </c>
      <c r="T22" s="640">
        <f t="shared" si="1"/>
        <v>-21.408219841870221</v>
      </c>
      <c r="U22" s="534"/>
      <c r="V22" s="534"/>
    </row>
    <row r="23" spans="1:22" ht="24" customHeight="1">
      <c r="A23" s="690" t="s">
        <v>259</v>
      </c>
      <c r="B23" s="695"/>
      <c r="C23" s="691">
        <v>1926075.38</v>
      </c>
      <c r="D23" s="587">
        <f t="shared" si="2"/>
        <v>1926075.38</v>
      </c>
      <c r="E23" s="695">
        <v>169481.92</v>
      </c>
      <c r="F23" s="587">
        <v>0</v>
      </c>
      <c r="G23" s="587">
        <v>146685.72</v>
      </c>
      <c r="H23" s="692">
        <f t="shared" si="3"/>
        <v>316167.64</v>
      </c>
      <c r="I23" s="693">
        <f t="shared" si="4"/>
        <v>2242243.02</v>
      </c>
      <c r="J23" s="690" t="s">
        <v>259</v>
      </c>
      <c r="K23" s="587">
        <f>'ตาราง 2'!B20</f>
        <v>1515848.97</v>
      </c>
      <c r="L23" s="587">
        <f t="shared" si="5"/>
        <v>1515848.97</v>
      </c>
      <c r="M23" s="587">
        <f>'ตาราง 2'!C20</f>
        <v>162967.46000000002</v>
      </c>
      <c r="N23" s="587">
        <f>'ตาราง 2'!D20</f>
        <v>7467.06</v>
      </c>
      <c r="O23" s="587">
        <f>'ตาราง 2'!E20</f>
        <v>133449.63710982658</v>
      </c>
      <c r="P23" s="692">
        <f t="shared" si="6"/>
        <v>303884.15710982657</v>
      </c>
      <c r="Q23" s="694">
        <f t="shared" si="0"/>
        <v>1819733.1271098265</v>
      </c>
      <c r="R23" s="640">
        <f t="shared" si="7"/>
        <v>-21.298564649115651</v>
      </c>
      <c r="S23" s="640">
        <f t="shared" si="1"/>
        <v>-3.8851170506170214</v>
      </c>
      <c r="T23" s="640">
        <f t="shared" si="1"/>
        <v>-18.843180204890256</v>
      </c>
      <c r="U23" s="534"/>
      <c r="V23" s="534"/>
    </row>
    <row r="24" spans="1:22" ht="21.75">
      <c r="A24" s="690" t="s">
        <v>262</v>
      </c>
      <c r="B24" s="695"/>
      <c r="C24" s="691">
        <v>4452995.38</v>
      </c>
      <c r="D24" s="587">
        <f>SUM(C24)</f>
        <v>4452995.38</v>
      </c>
      <c r="E24" s="695">
        <v>282602.92</v>
      </c>
      <c r="F24" s="587">
        <v>0</v>
      </c>
      <c r="G24" s="587">
        <v>403385.72</v>
      </c>
      <c r="H24" s="692">
        <f t="shared" si="3"/>
        <v>685988.6399999999</v>
      </c>
      <c r="I24" s="693">
        <f>D24+H24</f>
        <v>5138984.0199999996</v>
      </c>
      <c r="J24" s="690" t="s">
        <v>262</v>
      </c>
      <c r="K24" s="587">
        <f>'ตาราง 2'!B21</f>
        <v>4498319.74</v>
      </c>
      <c r="L24" s="587">
        <f t="shared" si="5"/>
        <v>4498319.74</v>
      </c>
      <c r="M24" s="587">
        <f>'ตาราง 2'!C21</f>
        <v>236129.46000000002</v>
      </c>
      <c r="N24" s="587">
        <f>'ตาราง 2'!D21</f>
        <v>9521.0600000000013</v>
      </c>
      <c r="O24" s="587">
        <f>'ตาราง 2'!E21</f>
        <v>366986.50205202308</v>
      </c>
      <c r="P24" s="692">
        <f t="shared" si="6"/>
        <v>612637.02205202309</v>
      </c>
      <c r="Q24" s="694">
        <f t="shared" si="0"/>
        <v>5110956.7620520238</v>
      </c>
      <c r="R24" s="640">
        <f>+(L24-D24)/D24*100</f>
        <v>1.0178398163979308</v>
      </c>
      <c r="S24" s="640">
        <f t="shared" si="1"/>
        <v>-10.692832748363998</v>
      </c>
      <c r="T24" s="640">
        <f t="shared" si="1"/>
        <v>-0.54538519362774307</v>
      </c>
      <c r="U24" s="534"/>
      <c r="V24" s="534"/>
    </row>
    <row r="25" spans="1:22" ht="24" customHeight="1">
      <c r="A25" s="1049" t="s">
        <v>325</v>
      </c>
      <c r="B25" s="1049"/>
      <c r="C25" s="691">
        <v>9760403.7699999996</v>
      </c>
      <c r="D25" s="587">
        <f t="shared" si="2"/>
        <v>9760403.7699999996</v>
      </c>
      <c r="E25" s="587">
        <v>328307.92</v>
      </c>
      <c r="F25" s="587">
        <v>76803.45</v>
      </c>
      <c r="G25" s="587">
        <v>1063471.44</v>
      </c>
      <c r="H25" s="692">
        <f t="shared" si="3"/>
        <v>1468582.81</v>
      </c>
      <c r="I25" s="693">
        <f t="shared" si="4"/>
        <v>11228986.58</v>
      </c>
      <c r="J25" s="696" t="s">
        <v>325</v>
      </c>
      <c r="K25" s="587">
        <f>'ตาราง 2'!B22</f>
        <v>9710593.9600000009</v>
      </c>
      <c r="L25" s="587">
        <f t="shared" si="5"/>
        <v>9710593.9600000009</v>
      </c>
      <c r="M25" s="587">
        <f>'ตาราง 2'!C22</f>
        <v>313341.46000000002</v>
      </c>
      <c r="N25" s="587">
        <f>'ตาราง 2'!D22</f>
        <v>17391.060000000001</v>
      </c>
      <c r="O25" s="587">
        <f>'ตาราง 2'!E22</f>
        <v>1034234.687601156</v>
      </c>
      <c r="P25" s="692">
        <f t="shared" si="6"/>
        <v>1364967.2076011561</v>
      </c>
      <c r="Q25" s="694">
        <f t="shared" si="0"/>
        <v>11075561.167601157</v>
      </c>
      <c r="R25" s="640">
        <f t="shared" si="7"/>
        <v>-0.51032530183942026</v>
      </c>
      <c r="S25" s="640">
        <f t="shared" ref="S25:T36" si="8">+(P25-H25)/H25*100</f>
        <v>-7.055482448336976</v>
      </c>
      <c r="T25" s="640">
        <f t="shared" si="8"/>
        <v>-1.3663335627465243</v>
      </c>
      <c r="U25" s="534"/>
      <c r="V25" s="534"/>
    </row>
    <row r="26" spans="1:22" ht="24" customHeight="1">
      <c r="A26" s="1049" t="s">
        <v>326</v>
      </c>
      <c r="B26" s="1049"/>
      <c r="C26" s="691">
        <v>14241876.35</v>
      </c>
      <c r="D26" s="587">
        <f t="shared" si="2"/>
        <v>14241876.35</v>
      </c>
      <c r="E26" s="587">
        <v>468210.42</v>
      </c>
      <c r="F26" s="587">
        <v>48080.78</v>
      </c>
      <c r="G26" s="587">
        <v>1283500.02</v>
      </c>
      <c r="H26" s="692">
        <f t="shared" si="3"/>
        <v>1799791.22</v>
      </c>
      <c r="I26" s="693">
        <f t="shared" si="4"/>
        <v>16041667.57</v>
      </c>
      <c r="J26" s="696" t="s">
        <v>326</v>
      </c>
      <c r="K26" s="587">
        <f>'ตาราง 2'!B23</f>
        <v>15700577.73</v>
      </c>
      <c r="L26" s="587">
        <f t="shared" si="5"/>
        <v>15700577.73</v>
      </c>
      <c r="M26" s="587">
        <f>'ตาราง 2'!C23</f>
        <v>597610.93999999994</v>
      </c>
      <c r="N26" s="587">
        <f>'ตาราง 2'!D23</f>
        <v>6521.06</v>
      </c>
      <c r="O26" s="587">
        <f>'ตาราง 2'!E23</f>
        <v>1434583.5989306357</v>
      </c>
      <c r="P26" s="692">
        <f t="shared" si="6"/>
        <v>2038715.5989306357</v>
      </c>
      <c r="Q26" s="694">
        <f t="shared" si="0"/>
        <v>17739293.328930635</v>
      </c>
      <c r="R26" s="640">
        <f t="shared" si="7"/>
        <v>10.242339872582876</v>
      </c>
      <c r="S26" s="640">
        <f t="shared" si="8"/>
        <v>13.275116373255546</v>
      </c>
      <c r="T26" s="640">
        <f t="shared" si="8"/>
        <v>10.582601537669408</v>
      </c>
      <c r="U26" s="534"/>
      <c r="V26" s="534"/>
    </row>
    <row r="27" spans="1:22" ht="24" customHeight="1">
      <c r="A27" s="1049" t="s">
        <v>327</v>
      </c>
      <c r="B27" s="1049"/>
      <c r="C27" s="691">
        <v>5347975.38</v>
      </c>
      <c r="D27" s="587">
        <f t="shared" si="2"/>
        <v>5347975.38</v>
      </c>
      <c r="E27" s="587">
        <v>350034.92</v>
      </c>
      <c r="F27" s="587">
        <v>104766.62</v>
      </c>
      <c r="G27" s="587">
        <v>293371.43</v>
      </c>
      <c r="H27" s="692">
        <f t="shared" si="3"/>
        <v>748172.97</v>
      </c>
      <c r="I27" s="693">
        <f t="shared" si="4"/>
        <v>6096148.3499999996</v>
      </c>
      <c r="J27" s="696" t="s">
        <v>327</v>
      </c>
      <c r="K27" s="587">
        <f>'ตาราง 2'!B24</f>
        <v>6859361.4799999995</v>
      </c>
      <c r="L27" s="587">
        <f t="shared" si="5"/>
        <v>6859361.4799999995</v>
      </c>
      <c r="M27" s="587">
        <f>'ตาราง 2'!C24</f>
        <v>293239.46000000002</v>
      </c>
      <c r="N27" s="587">
        <f>'ตาราง 2'!D24</f>
        <v>44650.06</v>
      </c>
      <c r="O27" s="587">
        <f>'ตาราง 2'!E24</f>
        <v>166812.04638728322</v>
      </c>
      <c r="P27" s="692">
        <f t="shared" si="6"/>
        <v>504701.56638728327</v>
      </c>
      <c r="Q27" s="694">
        <f t="shared" si="0"/>
        <v>7364063.0463872831</v>
      </c>
      <c r="R27" s="640">
        <f t="shared" si="7"/>
        <v>28.260902352919949</v>
      </c>
      <c r="S27" s="640">
        <f t="shared" si="8"/>
        <v>-32.542127739888372</v>
      </c>
      <c r="T27" s="640">
        <f t="shared" si="8"/>
        <v>20.798619449398466</v>
      </c>
      <c r="U27" s="534"/>
      <c r="V27" s="534"/>
    </row>
    <row r="28" spans="1:22" ht="22.5" customHeight="1">
      <c r="A28" s="1062" t="s">
        <v>270</v>
      </c>
      <c r="B28" s="1062"/>
      <c r="C28" s="691">
        <v>904677.03</v>
      </c>
      <c r="D28" s="587">
        <f t="shared" si="2"/>
        <v>904677.03</v>
      </c>
      <c r="E28" s="587">
        <v>214822.92</v>
      </c>
      <c r="F28" s="587">
        <v>42436.78</v>
      </c>
      <c r="G28" s="587">
        <v>36671.43</v>
      </c>
      <c r="H28" s="692">
        <f t="shared" si="3"/>
        <v>293931.13</v>
      </c>
      <c r="I28" s="693">
        <f t="shared" si="4"/>
        <v>1198608.1600000001</v>
      </c>
      <c r="J28" s="697" t="s">
        <v>270</v>
      </c>
      <c r="K28" s="587">
        <f>'ตาราง 2'!B25</f>
        <v>53328.97</v>
      </c>
      <c r="L28" s="587">
        <f t="shared" si="5"/>
        <v>53328.97</v>
      </c>
      <c r="M28" s="587">
        <f>'ตาราง 2'!C25</f>
        <v>190931.46000000002</v>
      </c>
      <c r="N28" s="587">
        <f>'ตาราง 2'!D25</f>
        <v>6401.06</v>
      </c>
      <c r="O28" s="587">
        <f>'ตาราง 2'!E25</f>
        <v>33362.409277456645</v>
      </c>
      <c r="P28" s="692">
        <f t="shared" si="6"/>
        <v>230694.92927745666</v>
      </c>
      <c r="Q28" s="694">
        <f t="shared" si="0"/>
        <v>284023.89927745669</v>
      </c>
      <c r="R28" s="640">
        <f t="shared" si="7"/>
        <v>-94.105192435360053</v>
      </c>
      <c r="S28" s="640">
        <f t="shared" si="8"/>
        <v>-21.513951490113804</v>
      </c>
      <c r="T28" s="640">
        <f t="shared" si="8"/>
        <v>-76.303857360902953</v>
      </c>
      <c r="U28" s="534"/>
      <c r="V28" s="534"/>
    </row>
    <row r="29" spans="1:22" ht="21.75" customHeight="1">
      <c r="A29" s="1062" t="s">
        <v>272</v>
      </c>
      <c r="B29" s="1062"/>
      <c r="C29" s="691">
        <v>3625136.81</v>
      </c>
      <c r="D29" s="587">
        <f t="shared" si="2"/>
        <v>3625136.81</v>
      </c>
      <c r="E29" s="587">
        <v>153527.92000000001</v>
      </c>
      <c r="F29" s="587">
        <v>0</v>
      </c>
      <c r="G29" s="587">
        <v>366714.29</v>
      </c>
      <c r="H29" s="692">
        <f t="shared" si="3"/>
        <v>520242.20999999996</v>
      </c>
      <c r="I29" s="693">
        <f t="shared" si="4"/>
        <v>4145379.02</v>
      </c>
      <c r="J29" s="697" t="s">
        <v>272</v>
      </c>
      <c r="K29" s="587">
        <f>'ตาราง 2'!B26</f>
        <v>6104228.3299999991</v>
      </c>
      <c r="L29" s="587">
        <f t="shared" si="5"/>
        <v>6104228.3299999991</v>
      </c>
      <c r="M29" s="587">
        <f>'ตาราง 2'!C26</f>
        <v>220939.46000000002</v>
      </c>
      <c r="N29" s="587">
        <f>'ตาราง 2'!D26</f>
        <v>6641.06</v>
      </c>
      <c r="O29" s="587">
        <f>'ตาราง 2'!E26</f>
        <v>333624.09277456644</v>
      </c>
      <c r="P29" s="692">
        <f t="shared" si="6"/>
        <v>561204.61277456651</v>
      </c>
      <c r="Q29" s="694">
        <f t="shared" si="0"/>
        <v>6665432.9427745659</v>
      </c>
      <c r="R29" s="640">
        <f t="shared" si="7"/>
        <v>68.386150645718629</v>
      </c>
      <c r="S29" s="640">
        <f t="shared" si="8"/>
        <v>7.87371766211868</v>
      </c>
      <c r="T29" s="640">
        <f t="shared" si="8"/>
        <v>60.7918820116614</v>
      </c>
      <c r="U29" s="534"/>
      <c r="V29" s="534"/>
    </row>
    <row r="30" spans="1:22" ht="24" customHeight="1">
      <c r="A30" s="1049" t="s">
        <v>330</v>
      </c>
      <c r="B30" s="1049"/>
      <c r="C30" s="691">
        <v>6079079.8600000003</v>
      </c>
      <c r="D30" s="587">
        <f t="shared" si="2"/>
        <v>6079079.8600000003</v>
      </c>
      <c r="E30" s="587">
        <v>247588.25</v>
      </c>
      <c r="F30" s="587">
        <v>40466.78</v>
      </c>
      <c r="G30" s="587">
        <v>440057.15</v>
      </c>
      <c r="H30" s="692">
        <f t="shared" si="3"/>
        <v>728112.18</v>
      </c>
      <c r="I30" s="693">
        <f t="shared" si="4"/>
        <v>6807192.04</v>
      </c>
      <c r="J30" s="696" t="s">
        <v>330</v>
      </c>
      <c r="K30" s="587">
        <f>'ตาราง 2'!B27</f>
        <v>6585939.4399999995</v>
      </c>
      <c r="L30" s="587">
        <f t="shared" si="5"/>
        <v>6585939.4399999995</v>
      </c>
      <c r="M30" s="587">
        <f>'ตาราง 2'!C27</f>
        <v>282988.86000000004</v>
      </c>
      <c r="N30" s="587">
        <f>'ตาราง 2'!D27</f>
        <v>11481.060000000001</v>
      </c>
      <c r="O30" s="587">
        <f>'ตาราง 2'!E27</f>
        <v>533798.54843930632</v>
      </c>
      <c r="P30" s="692">
        <f t="shared" si="6"/>
        <v>828268.46843930637</v>
      </c>
      <c r="Q30" s="694">
        <f t="shared" si="0"/>
        <v>7414207.9084393056</v>
      </c>
      <c r="R30" s="640">
        <f t="shared" si="7"/>
        <v>8.3377680779472296</v>
      </c>
      <c r="S30" s="640">
        <f t="shared" si="8"/>
        <v>13.755612279320243</v>
      </c>
      <c r="T30" s="640">
        <f t="shared" si="8"/>
        <v>8.9172725680779461</v>
      </c>
      <c r="U30" s="534"/>
      <c r="V30" s="534"/>
    </row>
    <row r="31" spans="1:22" ht="24" customHeight="1">
      <c r="A31" s="1049" t="s">
        <v>331</v>
      </c>
      <c r="B31" s="1049"/>
      <c r="C31" s="691">
        <v>2938673.48</v>
      </c>
      <c r="D31" s="587">
        <f t="shared" si="2"/>
        <v>2938673.48</v>
      </c>
      <c r="E31" s="587">
        <v>184067.92</v>
      </c>
      <c r="F31" s="587">
        <v>0</v>
      </c>
      <c r="G31" s="587">
        <v>220028.57</v>
      </c>
      <c r="H31" s="692">
        <f t="shared" si="3"/>
        <v>404096.49</v>
      </c>
      <c r="I31" s="693">
        <f t="shared" si="4"/>
        <v>3342769.9699999997</v>
      </c>
      <c r="J31" s="696" t="s">
        <v>331</v>
      </c>
      <c r="K31" s="587">
        <f>'ตาราง 2'!B28</f>
        <v>2792064.97</v>
      </c>
      <c r="L31" s="587">
        <f t="shared" si="5"/>
        <v>2792064.97</v>
      </c>
      <c r="M31" s="587">
        <f>'ตาราง 2'!C28</f>
        <v>167999.46000000002</v>
      </c>
      <c r="N31" s="587">
        <f>'ตาราง 2'!D28</f>
        <v>6281.06</v>
      </c>
      <c r="O31" s="587">
        <f>'ตาราง 2'!E28</f>
        <v>200174.45566473989</v>
      </c>
      <c r="P31" s="692">
        <f t="shared" si="6"/>
        <v>374454.9756647399</v>
      </c>
      <c r="Q31" s="694">
        <f t="shared" si="0"/>
        <v>3166519.9456647402</v>
      </c>
      <c r="R31" s="640">
        <f t="shared" si="7"/>
        <v>-4.9889350075054875</v>
      </c>
      <c r="S31" s="640">
        <f t="shared" si="8"/>
        <v>-7.3352565708403175</v>
      </c>
      <c r="T31" s="640">
        <f t="shared" si="8"/>
        <v>-5.2725741201767349</v>
      </c>
      <c r="U31" s="534"/>
      <c r="V31" s="534"/>
    </row>
    <row r="32" spans="1:22" ht="24" customHeight="1">
      <c r="A32" s="1049" t="s">
        <v>453</v>
      </c>
      <c r="B32" s="1049"/>
      <c r="C32" s="691">
        <v>3723439.86</v>
      </c>
      <c r="D32" s="587">
        <f t="shared" si="2"/>
        <v>3723439.86</v>
      </c>
      <c r="E32" s="587">
        <v>263622.92</v>
      </c>
      <c r="F32" s="587">
        <v>51291.78</v>
      </c>
      <c r="G32" s="587">
        <v>220028.57</v>
      </c>
      <c r="H32" s="692">
        <f t="shared" si="3"/>
        <v>534943.27</v>
      </c>
      <c r="I32" s="693">
        <f t="shared" si="4"/>
        <v>4258383.13</v>
      </c>
      <c r="J32" s="696" t="s">
        <v>278</v>
      </c>
      <c r="K32" s="587">
        <f>'ตาราง 2'!B29</f>
        <v>3590389.98</v>
      </c>
      <c r="L32" s="587">
        <f t="shared" si="5"/>
        <v>3590389.98</v>
      </c>
      <c r="M32" s="587">
        <f>'ตาราง 2'!C29</f>
        <v>245621.46000000002</v>
      </c>
      <c r="N32" s="587">
        <f>'ตาราง 2'!D29</f>
        <v>6321.06</v>
      </c>
      <c r="O32" s="587">
        <f>'ตาราง 2'!E29</f>
        <v>233536.86494219652</v>
      </c>
      <c r="P32" s="692">
        <f t="shared" si="6"/>
        <v>485479.38494219654</v>
      </c>
      <c r="Q32" s="694">
        <f t="shared" si="0"/>
        <v>4075869.3649421968</v>
      </c>
      <c r="R32" s="640">
        <f t="shared" si="7"/>
        <v>-3.5733054649095339</v>
      </c>
      <c r="S32" s="640">
        <f t="shared" si="8"/>
        <v>-9.2465664738250606</v>
      </c>
      <c r="T32" s="640">
        <f t="shared" si="8"/>
        <v>-4.2859874155523237</v>
      </c>
      <c r="U32" s="534"/>
      <c r="V32" s="534"/>
    </row>
    <row r="33" spans="1:22" ht="24" customHeight="1">
      <c r="A33" s="1049" t="s">
        <v>332</v>
      </c>
      <c r="B33" s="1049"/>
      <c r="C33" s="691">
        <v>4173915.06</v>
      </c>
      <c r="D33" s="587">
        <f t="shared" si="2"/>
        <v>4173915.06</v>
      </c>
      <c r="E33" s="695">
        <v>305799.92</v>
      </c>
      <c r="F33" s="587">
        <v>0</v>
      </c>
      <c r="G33" s="587">
        <v>293371.43</v>
      </c>
      <c r="H33" s="692">
        <f t="shared" si="3"/>
        <v>599171.35</v>
      </c>
      <c r="I33" s="693">
        <f t="shared" si="4"/>
        <v>4773086.41</v>
      </c>
      <c r="J33" s="696" t="s">
        <v>332</v>
      </c>
      <c r="K33" s="587">
        <f>'ตาราง 2'!B30</f>
        <v>4245344.03</v>
      </c>
      <c r="L33" s="587">
        <f t="shared" si="5"/>
        <v>4245344.03</v>
      </c>
      <c r="M33" s="587">
        <f>'ตาราง 2'!C30</f>
        <v>286571.46000000002</v>
      </c>
      <c r="N33" s="587">
        <f>'ตาราง 2'!D30</f>
        <v>16291.060000000001</v>
      </c>
      <c r="O33" s="587">
        <f>'ตาราง 2'!E30</f>
        <v>266899.27421965316</v>
      </c>
      <c r="P33" s="692">
        <f t="shared" si="6"/>
        <v>569761.79421965312</v>
      </c>
      <c r="Q33" s="694">
        <f t="shared" si="0"/>
        <v>4815105.8242196534</v>
      </c>
      <c r="R33" s="640">
        <f t="shared" si="7"/>
        <v>1.7113182461360441</v>
      </c>
      <c r="S33" s="640">
        <f t="shared" si="8"/>
        <v>-4.908371500130448</v>
      </c>
      <c r="T33" s="640">
        <f t="shared" si="8"/>
        <v>0.88034053042951799</v>
      </c>
      <c r="U33" s="534"/>
      <c r="V33" s="534"/>
    </row>
    <row r="34" spans="1:22" ht="24" customHeight="1">
      <c r="A34" s="1049" t="s">
        <v>282</v>
      </c>
      <c r="B34" s="1049"/>
      <c r="C34" s="691">
        <v>1383565.38</v>
      </c>
      <c r="D34" s="587">
        <f t="shared" si="2"/>
        <v>1383565.38</v>
      </c>
      <c r="E34" s="587">
        <v>188585.92</v>
      </c>
      <c r="F34" s="587">
        <v>0</v>
      </c>
      <c r="G34" s="587">
        <v>110014.29</v>
      </c>
      <c r="H34" s="692">
        <f t="shared" si="3"/>
        <v>298600.21000000002</v>
      </c>
      <c r="I34" s="693">
        <f t="shared" si="4"/>
        <v>1682165.5899999999</v>
      </c>
      <c r="J34" s="696" t="s">
        <v>282</v>
      </c>
      <c r="K34" s="587">
        <f>'ตาราง 2'!B31</f>
        <v>338748.97</v>
      </c>
      <c r="L34" s="587">
        <f t="shared" si="5"/>
        <v>338748.97</v>
      </c>
      <c r="M34" s="587">
        <f>'ตาราง 2'!C31</f>
        <v>1262996.46</v>
      </c>
      <c r="N34" s="587">
        <f>'ตาราง 2'!D31</f>
        <v>6281.06</v>
      </c>
      <c r="O34" s="587">
        <f>'ตาราง 2'!E31</f>
        <v>66724.81855491329</v>
      </c>
      <c r="P34" s="692">
        <f t="shared" si="6"/>
        <v>1336002.3385549134</v>
      </c>
      <c r="Q34" s="694">
        <f t="shared" si="0"/>
        <v>1674751.3085549134</v>
      </c>
      <c r="R34" s="640">
        <f t="shared" si="7"/>
        <v>-75.516229670331882</v>
      </c>
      <c r="S34" s="640">
        <f t="shared" si="8"/>
        <v>347.4217679066312</v>
      </c>
      <c r="T34" s="640">
        <f t="shared" si="8"/>
        <v>-0.4407581209104669</v>
      </c>
      <c r="U34" s="534"/>
      <c r="V34" s="534"/>
    </row>
    <row r="35" spans="1:22" ht="24" customHeight="1">
      <c r="A35" s="1050" t="s">
        <v>333</v>
      </c>
      <c r="B35" s="1050"/>
      <c r="C35" s="734">
        <v>4272310.1500000004</v>
      </c>
      <c r="D35" s="735">
        <f t="shared" si="2"/>
        <v>4272310.1500000004</v>
      </c>
      <c r="E35" s="735">
        <v>176628.92</v>
      </c>
      <c r="F35" s="735">
        <v>0</v>
      </c>
      <c r="G35" s="735">
        <f>403385.72-0.02</f>
        <v>403385.69999999995</v>
      </c>
      <c r="H35" s="909">
        <f t="shared" si="3"/>
        <v>580014.62</v>
      </c>
      <c r="I35" s="910">
        <f t="shared" si="4"/>
        <v>4852324.7700000005</v>
      </c>
      <c r="J35" s="908" t="s">
        <v>333</v>
      </c>
      <c r="K35" s="735">
        <f>'ตาราง 2'!B32</f>
        <v>4557564.1499999994</v>
      </c>
      <c r="L35" s="735">
        <f t="shared" si="5"/>
        <v>4557564.1499999994</v>
      </c>
      <c r="M35" s="735">
        <f>'ตาราง 2'!C32</f>
        <v>242325.46000000002</v>
      </c>
      <c r="N35" s="735">
        <f>'ตาราง 2'!D32</f>
        <v>6281.06</v>
      </c>
      <c r="O35" s="735">
        <f>'ตาราง 2'!E32</f>
        <v>333624.09277456644</v>
      </c>
      <c r="P35" s="909">
        <f t="shared" si="6"/>
        <v>582230.61277456651</v>
      </c>
      <c r="Q35" s="911">
        <f t="shared" si="0"/>
        <v>5139794.7627745662</v>
      </c>
      <c r="R35" s="781">
        <f t="shared" si="7"/>
        <v>6.6768092667616612</v>
      </c>
      <c r="S35" s="781">
        <f t="shared" si="8"/>
        <v>0.3820580892541155</v>
      </c>
      <c r="T35" s="781">
        <f t="shared" si="8"/>
        <v>5.9243765906164949</v>
      </c>
      <c r="U35" s="534"/>
      <c r="V35" s="534"/>
    </row>
    <row r="36" spans="1:22" ht="24" customHeight="1" thickBot="1">
      <c r="A36" s="1063" t="s">
        <v>1546</v>
      </c>
      <c r="B36" s="1064"/>
      <c r="C36" s="734">
        <v>0</v>
      </c>
      <c r="D36" s="735">
        <f t="shared" si="2"/>
        <v>0</v>
      </c>
      <c r="E36" s="735">
        <v>0</v>
      </c>
      <c r="F36" s="735">
        <v>0</v>
      </c>
      <c r="G36" s="735">
        <v>0</v>
      </c>
      <c r="H36" s="909">
        <f t="shared" si="3"/>
        <v>0</v>
      </c>
      <c r="I36" s="910">
        <f t="shared" si="4"/>
        <v>0</v>
      </c>
      <c r="J36" s="912" t="s">
        <v>1546</v>
      </c>
      <c r="K36" s="735">
        <f>'ตาราง 2'!B33</f>
        <v>291585.21999999997</v>
      </c>
      <c r="L36" s="735">
        <f t="shared" si="5"/>
        <v>291585.21999999997</v>
      </c>
      <c r="M36" s="735">
        <f>'ตาราง 2'!C33</f>
        <v>7634.45</v>
      </c>
      <c r="N36" s="735">
        <f>'ตาราง 2'!D33</f>
        <v>6521.06</v>
      </c>
      <c r="O36" s="735">
        <f>'ตาราง 2'!E33</f>
        <v>33362.409277456645</v>
      </c>
      <c r="P36" s="909">
        <f t="shared" si="6"/>
        <v>47517.919277456647</v>
      </c>
      <c r="Q36" s="911">
        <f t="shared" si="0"/>
        <v>339103.13927745662</v>
      </c>
      <c r="R36" s="781" t="e">
        <f t="shared" si="7"/>
        <v>#DIV/0!</v>
      </c>
      <c r="S36" s="781" t="e">
        <f t="shared" si="8"/>
        <v>#DIV/0!</v>
      </c>
      <c r="T36" s="781" t="e">
        <f t="shared" si="8"/>
        <v>#DIV/0!</v>
      </c>
      <c r="U36" s="534"/>
      <c r="V36" s="534"/>
    </row>
    <row r="37" spans="1:22" s="558" customFormat="1" ht="24" customHeight="1" thickBot="1">
      <c r="A37" s="1055" t="s">
        <v>454</v>
      </c>
      <c r="B37" s="1055"/>
      <c r="C37" s="702">
        <f>SUM(C9:C36)</f>
        <v>108576246.34</v>
      </c>
      <c r="D37" s="702">
        <f t="shared" ref="D37:I37" si="9">SUM(D9:D36)</f>
        <v>108576246.34</v>
      </c>
      <c r="E37" s="702">
        <f t="shared" si="9"/>
        <v>5816100.669999999</v>
      </c>
      <c r="F37" s="702">
        <f t="shared" si="9"/>
        <v>639005.06000000006</v>
      </c>
      <c r="G37" s="702">
        <f t="shared" si="9"/>
        <v>9204528.6999999974</v>
      </c>
      <c r="H37" s="702">
        <f t="shared" si="9"/>
        <v>15659634.430000002</v>
      </c>
      <c r="I37" s="702">
        <f t="shared" si="9"/>
        <v>124235880.77</v>
      </c>
      <c r="J37" s="703" t="s">
        <v>454</v>
      </c>
      <c r="K37" s="704">
        <f>SUM(K9:K36)</f>
        <v>125385051.17</v>
      </c>
      <c r="L37" s="705">
        <f>SUM(K37)</f>
        <v>125385051.17</v>
      </c>
      <c r="M37" s="705">
        <f>SUM(M9:M36)</f>
        <v>6969108.6799999997</v>
      </c>
      <c r="N37" s="705">
        <f t="shared" ref="N37:Q37" si="10">SUM(N9:N36)</f>
        <v>310973.88</v>
      </c>
      <c r="O37" s="705">
        <f t="shared" si="10"/>
        <v>8474051.9564739875</v>
      </c>
      <c r="P37" s="705">
        <f t="shared" si="10"/>
        <v>15754134.51647399</v>
      </c>
      <c r="Q37" s="705">
        <f t="shared" si="10"/>
        <v>141139185.68647397</v>
      </c>
      <c r="R37" s="706"/>
      <c r="S37" s="706"/>
      <c r="T37" s="706"/>
      <c r="U37" s="882"/>
      <c r="V37" s="707"/>
    </row>
    <row r="38" spans="1:22" s="717" customFormat="1" ht="24" customHeight="1">
      <c r="A38" s="708"/>
      <c r="B38" s="708"/>
      <c r="C38" s="709"/>
      <c r="D38" s="709"/>
      <c r="E38" s="709"/>
      <c r="F38" s="709"/>
      <c r="G38" s="709">
        <f>9171240.08-G37</f>
        <v>-33288.619999997318</v>
      </c>
      <c r="H38" s="710"/>
      <c r="I38" s="711"/>
      <c r="J38" s="708"/>
      <c r="K38" s="712"/>
      <c r="L38" s="713"/>
      <c r="M38" s="713"/>
      <c r="N38" s="713"/>
      <c r="O38" s="713"/>
      <c r="P38" s="714"/>
      <c r="Q38" s="715"/>
      <c r="R38" s="716"/>
      <c r="S38" s="716"/>
      <c r="T38" s="716"/>
      <c r="U38" s="707"/>
      <c r="V38" s="715"/>
    </row>
    <row r="39" spans="1:22" s="558" customFormat="1" ht="24" customHeight="1">
      <c r="A39" s="718"/>
      <c r="B39" s="718"/>
      <c r="C39" s="719"/>
      <c r="D39" s="719"/>
      <c r="E39" s="719"/>
      <c r="F39" s="719"/>
      <c r="G39" s="719"/>
      <c r="H39" s="720"/>
      <c r="I39" s="721"/>
      <c r="J39" s="718"/>
      <c r="K39" s="722"/>
      <c r="L39" s="723"/>
      <c r="M39" s="723"/>
      <c r="N39" s="723"/>
      <c r="O39" s="723"/>
      <c r="P39" s="724"/>
      <c r="Q39" s="707"/>
      <c r="R39" s="725"/>
      <c r="S39" s="725"/>
      <c r="T39" s="725"/>
      <c r="U39" s="707"/>
      <c r="V39" s="707"/>
    </row>
    <row r="40" spans="1:22" s="558" customFormat="1" ht="24" customHeight="1">
      <c r="A40" s="718"/>
      <c r="B40" s="718"/>
      <c r="C40" s="719"/>
      <c r="D40" s="719"/>
      <c r="E40" s="719"/>
      <c r="F40" s="719"/>
      <c r="G40" s="719"/>
      <c r="H40" s="720"/>
      <c r="I40" s="721"/>
      <c r="J40" s="718"/>
      <c r="K40" s="722"/>
      <c r="L40" s="723"/>
      <c r="M40" s="723"/>
      <c r="N40" s="723"/>
      <c r="O40" s="723"/>
      <c r="P40" s="724"/>
      <c r="Q40" s="707"/>
      <c r="R40" s="725"/>
      <c r="S40" s="725"/>
      <c r="T40" s="725"/>
      <c r="U40" s="707"/>
      <c r="V40" s="707"/>
    </row>
    <row r="41" spans="1:22" s="558" customFormat="1" ht="24" customHeight="1">
      <c r="A41" s="718"/>
      <c r="B41" s="718"/>
      <c r="C41" s="719"/>
      <c r="D41" s="719"/>
      <c r="E41" s="719"/>
      <c r="F41" s="719"/>
      <c r="G41" s="719"/>
      <c r="H41" s="720"/>
      <c r="I41" s="721"/>
      <c r="J41" s="718"/>
      <c r="K41" s="722"/>
      <c r="L41" s="723"/>
      <c r="M41" s="723"/>
      <c r="N41" s="723"/>
      <c r="O41" s="723"/>
      <c r="P41" s="724"/>
      <c r="Q41" s="707"/>
      <c r="R41" s="725"/>
      <c r="S41" s="725"/>
      <c r="T41" s="725"/>
      <c r="U41" s="707"/>
      <c r="V41" s="707"/>
    </row>
    <row r="42" spans="1:22" s="558" customFormat="1" ht="24" customHeight="1">
      <c r="A42" s="718"/>
      <c r="B42" s="718"/>
      <c r="C42" s="719"/>
      <c r="D42" s="719"/>
      <c r="E42" s="719"/>
      <c r="F42" s="719"/>
      <c r="G42" s="719"/>
      <c r="H42" s="720"/>
      <c r="I42" s="721"/>
      <c r="J42" s="718"/>
      <c r="K42" s="722"/>
      <c r="L42" s="723"/>
      <c r="M42" s="723"/>
      <c r="N42" s="723"/>
      <c r="O42" s="723"/>
      <c r="P42" s="724"/>
      <c r="Q42" s="707"/>
      <c r="R42" s="725"/>
      <c r="S42" s="725"/>
      <c r="T42" s="725"/>
      <c r="U42" s="707"/>
      <c r="V42" s="707"/>
    </row>
    <row r="43" spans="1:22" s="558" customFormat="1" ht="24" customHeight="1">
      <c r="A43" s="718"/>
      <c r="B43" s="718"/>
      <c r="C43" s="719"/>
      <c r="D43" s="719"/>
      <c r="E43" s="719"/>
      <c r="F43" s="719"/>
      <c r="G43" s="719"/>
      <c r="H43" s="720"/>
      <c r="I43" s="721"/>
      <c r="J43" s="718"/>
      <c r="K43" s="722"/>
      <c r="L43" s="723"/>
      <c r="M43" s="723"/>
      <c r="N43" s="723"/>
      <c r="O43" s="723"/>
      <c r="P43" s="724"/>
      <c r="Q43" s="707"/>
      <c r="R43" s="725"/>
      <c r="S43" s="725"/>
      <c r="T43" s="725"/>
      <c r="U43" s="707"/>
      <c r="V43" s="707"/>
    </row>
    <row r="44" spans="1:22" s="558" customFormat="1" ht="24" customHeight="1">
      <c r="A44" s="718"/>
      <c r="B44" s="718"/>
      <c r="C44" s="719"/>
      <c r="D44" s="719"/>
      <c r="E44" s="719"/>
      <c r="F44" s="719"/>
      <c r="G44" s="719"/>
      <c r="H44" s="720"/>
      <c r="I44" s="721"/>
      <c r="J44" s="718"/>
      <c r="K44" s="722"/>
      <c r="L44" s="723"/>
      <c r="M44" s="723"/>
      <c r="N44" s="723"/>
      <c r="O44" s="723"/>
      <c r="P44" s="724"/>
      <c r="Q44" s="707"/>
      <c r="R44" s="725"/>
      <c r="S44" s="725"/>
      <c r="T44" s="725"/>
      <c r="U44" s="707"/>
      <c r="V44" s="707"/>
    </row>
    <row r="45" spans="1:22" s="558" customFormat="1" ht="24" customHeight="1">
      <c r="A45" s="718"/>
      <c r="B45" s="718"/>
      <c r="C45" s="719"/>
      <c r="D45" s="719"/>
      <c r="E45" s="719"/>
      <c r="F45" s="719"/>
      <c r="G45" s="719"/>
      <c r="H45" s="720"/>
      <c r="I45" s="721"/>
      <c r="J45" s="718"/>
      <c r="K45" s="722"/>
      <c r="L45" s="723"/>
      <c r="M45" s="723"/>
      <c r="N45" s="723"/>
      <c r="O45" s="723"/>
      <c r="P45" s="724"/>
      <c r="Q45" s="707"/>
      <c r="R45" s="725"/>
      <c r="S45" s="725"/>
      <c r="T45" s="725"/>
      <c r="U45" s="707"/>
      <c r="V45" s="707"/>
    </row>
    <row r="46" spans="1:22" s="558" customFormat="1" ht="24" customHeight="1">
      <c r="A46" s="718"/>
      <c r="B46" s="718"/>
      <c r="C46" s="719"/>
      <c r="D46" s="719"/>
      <c r="E46" s="719"/>
      <c r="F46" s="719"/>
      <c r="G46" s="719"/>
      <c r="H46" s="720"/>
      <c r="I46" s="721"/>
      <c r="J46" s="718"/>
      <c r="K46" s="722"/>
      <c r="L46" s="723"/>
      <c r="M46" s="723"/>
      <c r="N46" s="723"/>
      <c r="O46" s="723"/>
      <c r="P46" s="724"/>
      <c r="Q46" s="707"/>
      <c r="R46" s="725"/>
      <c r="S46" s="725"/>
      <c r="T46" s="725"/>
      <c r="U46" s="707"/>
      <c r="V46" s="707"/>
    </row>
    <row r="47" spans="1:22" s="558" customFormat="1" ht="24" customHeight="1">
      <c r="A47" s="718"/>
      <c r="B47" s="718"/>
      <c r="C47" s="719"/>
      <c r="D47" s="719"/>
      <c r="E47" s="719"/>
      <c r="F47" s="719"/>
      <c r="G47" s="719"/>
      <c r="H47" s="720"/>
      <c r="I47" s="721"/>
      <c r="J47" s="718"/>
      <c r="K47" s="722"/>
      <c r="L47" s="723"/>
      <c r="M47" s="723"/>
      <c r="N47" s="723"/>
      <c r="O47" s="723"/>
      <c r="P47" s="724"/>
      <c r="Q47" s="707"/>
      <c r="R47" s="725"/>
      <c r="S47" s="725"/>
      <c r="T47" s="725"/>
      <c r="U47" s="707"/>
      <c r="V47" s="707"/>
    </row>
    <row r="48" spans="1:22" ht="21.75" customHeight="1">
      <c r="A48" s="991" t="s">
        <v>213</v>
      </c>
      <c r="B48" s="991"/>
      <c r="C48" s="1059" t="s">
        <v>1524</v>
      </c>
      <c r="D48" s="1060"/>
      <c r="E48" s="1060"/>
      <c r="F48" s="1060"/>
      <c r="G48" s="1060"/>
      <c r="H48" s="1060"/>
      <c r="I48" s="1051"/>
      <c r="J48" s="1051" t="s">
        <v>213</v>
      </c>
      <c r="K48" s="1054" t="s">
        <v>1559</v>
      </c>
      <c r="L48" s="1054"/>
      <c r="M48" s="1054"/>
      <c r="N48" s="1054"/>
      <c r="O48" s="1054"/>
      <c r="P48" s="1054"/>
      <c r="Q48" s="1054"/>
      <c r="R48" s="679" t="s">
        <v>425</v>
      </c>
      <c r="S48" s="679" t="s">
        <v>425</v>
      </c>
      <c r="T48" s="679" t="s">
        <v>351</v>
      </c>
    </row>
    <row r="49" spans="1:22" ht="21.75">
      <c r="A49" s="1058"/>
      <c r="B49" s="1058"/>
      <c r="C49" s="1054" t="s">
        <v>442</v>
      </c>
      <c r="D49" s="1054"/>
      <c r="E49" s="1002" t="s">
        <v>443</v>
      </c>
      <c r="F49" s="1002"/>
      <c r="G49" s="1002"/>
      <c r="H49" s="1002"/>
      <c r="I49" s="1046" t="s">
        <v>361</v>
      </c>
      <c r="J49" s="1052"/>
      <c r="K49" s="1042" t="s">
        <v>442</v>
      </c>
      <c r="L49" s="1043"/>
      <c r="M49" s="1044" t="s">
        <v>443</v>
      </c>
      <c r="N49" s="1045"/>
      <c r="O49" s="1045"/>
      <c r="P49" s="1043"/>
      <c r="Q49" s="1046" t="s">
        <v>361</v>
      </c>
      <c r="R49" s="680" t="s">
        <v>444</v>
      </c>
      <c r="S49" s="680" t="s">
        <v>445</v>
      </c>
      <c r="T49" s="680" t="s">
        <v>446</v>
      </c>
    </row>
    <row r="50" spans="1:22" ht="21.75">
      <c r="A50" s="1058"/>
      <c r="B50" s="1058"/>
      <c r="C50" s="991" t="s">
        <v>7</v>
      </c>
      <c r="D50" s="991" t="s">
        <v>1</v>
      </c>
      <c r="E50" s="991" t="s">
        <v>447</v>
      </c>
      <c r="F50" s="991" t="s">
        <v>11</v>
      </c>
      <c r="G50" s="991" t="s">
        <v>448</v>
      </c>
      <c r="H50" s="991" t="s">
        <v>1</v>
      </c>
      <c r="I50" s="1047"/>
      <c r="J50" s="1052"/>
      <c r="K50" s="991" t="s">
        <v>7</v>
      </c>
      <c r="L50" s="991" t="s">
        <v>1</v>
      </c>
      <c r="M50" s="991" t="s">
        <v>447</v>
      </c>
      <c r="N50" s="991" t="s">
        <v>11</v>
      </c>
      <c r="O50" s="1056" t="s">
        <v>448</v>
      </c>
      <c r="P50" s="991" t="s">
        <v>1</v>
      </c>
      <c r="Q50" s="1047"/>
      <c r="R50" s="680" t="s">
        <v>449</v>
      </c>
      <c r="S50" s="680" t="s">
        <v>446</v>
      </c>
      <c r="T50" s="680" t="s">
        <v>450</v>
      </c>
    </row>
    <row r="51" spans="1:22" ht="16.5" customHeight="1">
      <c r="A51" s="1041"/>
      <c r="B51" s="1041"/>
      <c r="C51" s="1041"/>
      <c r="D51" s="1041"/>
      <c r="E51" s="1041"/>
      <c r="F51" s="1041"/>
      <c r="G51" s="1041"/>
      <c r="H51" s="1041"/>
      <c r="I51" s="1048"/>
      <c r="J51" s="1053"/>
      <c r="K51" s="1041"/>
      <c r="L51" s="1041"/>
      <c r="M51" s="1041"/>
      <c r="N51" s="1041"/>
      <c r="O51" s="1057"/>
      <c r="P51" s="1041"/>
      <c r="Q51" s="1048"/>
      <c r="R51" s="681"/>
      <c r="S51" s="682" t="s">
        <v>451</v>
      </c>
      <c r="T51" s="681"/>
    </row>
    <row r="52" spans="1:22" ht="24" customHeight="1">
      <c r="A52" s="683" t="s">
        <v>288</v>
      </c>
      <c r="B52" s="577"/>
      <c r="C52" s="684"/>
      <c r="D52" s="577"/>
      <c r="E52" s="577"/>
      <c r="F52" s="577"/>
      <c r="G52" s="577"/>
      <c r="H52" s="726"/>
      <c r="I52" s="727"/>
      <c r="J52" s="683" t="s">
        <v>288</v>
      </c>
      <c r="K52" s="577"/>
      <c r="L52" s="577"/>
      <c r="M52" s="577"/>
      <c r="N52" s="577"/>
      <c r="O52" s="577"/>
      <c r="P52" s="726"/>
      <c r="Q52" s="728"/>
      <c r="R52" s="629"/>
      <c r="S52" s="629"/>
      <c r="T52" s="629"/>
      <c r="U52" s="534"/>
      <c r="V52" s="534"/>
    </row>
    <row r="53" spans="1:22" ht="24" customHeight="1">
      <c r="A53" s="690" t="s">
        <v>334</v>
      </c>
      <c r="B53" s="587"/>
      <c r="C53" s="684">
        <v>1092514.3600000001</v>
      </c>
      <c r="D53" s="577">
        <f>SUM(C53)</f>
        <v>1092514.3600000001</v>
      </c>
      <c r="E53" s="577">
        <v>153527.92000000001</v>
      </c>
      <c r="F53" s="577">
        <v>371432.35</v>
      </c>
      <c r="G53" s="577">
        <v>36671.43</v>
      </c>
      <c r="H53" s="726">
        <f>SUM(E53:G53)</f>
        <v>561631.70000000007</v>
      </c>
      <c r="I53" s="727">
        <f t="shared" ref="I53" si="11">D53+H53</f>
        <v>1654146.06</v>
      </c>
      <c r="J53" s="690" t="s">
        <v>334</v>
      </c>
      <c r="K53" s="587">
        <f>'ตาราง 2'!B43</f>
        <v>1272628.97</v>
      </c>
      <c r="L53" s="587">
        <f t="shared" ref="L53:L74" si="12">SUM(K53)</f>
        <v>1272628.97</v>
      </c>
      <c r="M53" s="587">
        <f>'ตาราง 2'!C43</f>
        <v>198451.46000000002</v>
      </c>
      <c r="N53" s="587">
        <f>'ตาราง 2'!D43</f>
        <v>278552.21000000002</v>
      </c>
      <c r="O53" s="587">
        <f>'ตาราง 2'!E43</f>
        <v>33362.409277456645</v>
      </c>
      <c r="P53" s="692">
        <f>SUM(M53:O53)</f>
        <v>510366.07927745668</v>
      </c>
      <c r="Q53" s="694">
        <f>L53+P53</f>
        <v>1782995.0492774567</v>
      </c>
      <c r="R53" s="640">
        <f>+(L53-D53)/D53*100</f>
        <v>16.486246459954984</v>
      </c>
      <c r="S53" s="640">
        <f t="shared" ref="S53:S74" si="13">+(P53-H53)/H53*100</f>
        <v>-9.1279784817244796</v>
      </c>
      <c r="T53" s="640">
        <f t="shared" ref="T53:T74" si="14">+(Q53-I53)/I53*100</f>
        <v>7.7894565899130246</v>
      </c>
      <c r="U53" s="534"/>
      <c r="V53" s="534"/>
    </row>
    <row r="54" spans="1:22" ht="24" customHeight="1">
      <c r="A54" s="690" t="s">
        <v>534</v>
      </c>
      <c r="B54" s="587"/>
      <c r="C54" s="691">
        <v>848343.48</v>
      </c>
      <c r="D54" s="587">
        <f t="shared" si="2"/>
        <v>848343.48</v>
      </c>
      <c r="E54" s="587">
        <v>179142.92</v>
      </c>
      <c r="F54" s="587">
        <v>44406.78</v>
      </c>
      <c r="G54" s="587">
        <v>36671.43</v>
      </c>
      <c r="H54" s="692">
        <f>SUM(E54:G54)</f>
        <v>260221.13</v>
      </c>
      <c r="I54" s="693">
        <f t="shared" si="4"/>
        <v>1108564.6099999999</v>
      </c>
      <c r="J54" s="690" t="s">
        <v>335</v>
      </c>
      <c r="K54" s="587">
        <f>'ตาราง 2'!B44</f>
        <v>828468.97</v>
      </c>
      <c r="L54" s="587">
        <f t="shared" si="12"/>
        <v>828468.97</v>
      </c>
      <c r="M54" s="587">
        <f>'ตาราง 2'!C44</f>
        <v>206595.46000000002</v>
      </c>
      <c r="N54" s="587">
        <f>'ตาราง 2'!D44</f>
        <v>8051.06</v>
      </c>
      <c r="O54" s="587">
        <f>'ตาราง 2'!E44</f>
        <v>33362.409277456645</v>
      </c>
      <c r="P54" s="692">
        <f t="shared" ref="P54:P74" si="15">SUM(M54:O54)</f>
        <v>248008.92927745666</v>
      </c>
      <c r="Q54" s="694">
        <f t="shared" ref="Q54:Q74" si="16">L54+P54</f>
        <v>1076477.8992774566</v>
      </c>
      <c r="R54" s="640">
        <f t="shared" ref="R54:R74" si="17">+(L54-D54)/D54*100</f>
        <v>-2.3427432954397207</v>
      </c>
      <c r="S54" s="640">
        <f t="shared" si="13"/>
        <v>-4.6930088738540743</v>
      </c>
      <c r="T54" s="640">
        <f t="shared" si="14"/>
        <v>-2.894437584701834</v>
      </c>
      <c r="U54" s="534"/>
      <c r="V54" s="534"/>
    </row>
    <row r="55" spans="1:22" ht="24" customHeight="1">
      <c r="A55" s="1038" t="s">
        <v>336</v>
      </c>
      <c r="B55" s="1038"/>
      <c r="C55" s="691">
        <v>2150648.71</v>
      </c>
      <c r="D55" s="587">
        <f t="shared" si="2"/>
        <v>2150648.71</v>
      </c>
      <c r="E55" s="695">
        <v>159833.92000000001</v>
      </c>
      <c r="F55" s="587">
        <v>39616.78</v>
      </c>
      <c r="G55" s="587">
        <v>220028.57</v>
      </c>
      <c r="H55" s="692">
        <f t="shared" ref="H55:H74" si="18">SUM(E55:G55)</f>
        <v>419479.27</v>
      </c>
      <c r="I55" s="693">
        <f t="shared" si="4"/>
        <v>2570127.98</v>
      </c>
      <c r="J55" s="690" t="s">
        <v>336</v>
      </c>
      <c r="K55" s="587">
        <f>'ตาราง 2'!B45</f>
        <v>1683510.26</v>
      </c>
      <c r="L55" s="587">
        <f t="shared" si="12"/>
        <v>1683510.26</v>
      </c>
      <c r="M55" s="587">
        <f>'ตาราง 2'!C45</f>
        <v>172387.46000000002</v>
      </c>
      <c r="N55" s="587">
        <f>'ตาราง 2'!D45</f>
        <v>8491.0600000000013</v>
      </c>
      <c r="O55" s="587">
        <f>'ตาราง 2'!E45</f>
        <v>200174.45566473989</v>
      </c>
      <c r="P55" s="692">
        <f t="shared" si="15"/>
        <v>381052.9756647399</v>
      </c>
      <c r="Q55" s="694">
        <f t="shared" si="16"/>
        <v>2064563.23566474</v>
      </c>
      <c r="R55" s="640">
        <f t="shared" si="17"/>
        <v>-21.720816041593327</v>
      </c>
      <c r="S55" s="640">
        <f t="shared" si="13"/>
        <v>-9.160475161325639</v>
      </c>
      <c r="T55" s="640">
        <f t="shared" si="14"/>
        <v>-19.670800375289481</v>
      </c>
      <c r="U55" s="534"/>
      <c r="V55" s="534"/>
    </row>
    <row r="56" spans="1:22" ht="24" customHeight="1">
      <c r="A56" s="690" t="s">
        <v>337</v>
      </c>
      <c r="B56" s="587"/>
      <c r="C56" s="691">
        <v>1854508.58</v>
      </c>
      <c r="D56" s="587">
        <f t="shared" si="2"/>
        <v>1854508.58</v>
      </c>
      <c r="E56" s="587">
        <v>179604.4</v>
      </c>
      <c r="F56" s="587">
        <v>155459.38</v>
      </c>
      <c r="G56" s="587">
        <v>146685.72</v>
      </c>
      <c r="H56" s="692">
        <f t="shared" si="18"/>
        <v>481749.5</v>
      </c>
      <c r="I56" s="693">
        <f t="shared" si="4"/>
        <v>2336258.08</v>
      </c>
      <c r="J56" s="690" t="s">
        <v>337</v>
      </c>
      <c r="K56" s="587">
        <f>'ตาราง 2'!B46</f>
        <v>985797.87</v>
      </c>
      <c r="L56" s="587">
        <f t="shared" si="12"/>
        <v>985797.87</v>
      </c>
      <c r="M56" s="587">
        <f>'ตาราง 2'!C46</f>
        <v>164185.46000000002</v>
      </c>
      <c r="N56" s="587">
        <f>'ตาราง 2'!D46</f>
        <v>75626.06</v>
      </c>
      <c r="O56" s="587">
        <f>'ตาราง 2'!E46</f>
        <v>100087.22783236994</v>
      </c>
      <c r="P56" s="692">
        <f t="shared" si="15"/>
        <v>339898.74783236999</v>
      </c>
      <c r="Q56" s="694">
        <f t="shared" si="16"/>
        <v>1325696.6178323701</v>
      </c>
      <c r="R56" s="640">
        <f t="shared" si="17"/>
        <v>-46.843175565140818</v>
      </c>
      <c r="S56" s="640">
        <f t="shared" si="13"/>
        <v>-29.44491943792988</v>
      </c>
      <c r="T56" s="640">
        <f t="shared" si="14"/>
        <v>-43.255557715080428</v>
      </c>
      <c r="U56" s="534"/>
      <c r="V56" s="534"/>
    </row>
    <row r="57" spans="1:22" ht="24" customHeight="1">
      <c r="A57" s="690" t="s">
        <v>1485</v>
      </c>
      <c r="B57" s="587"/>
      <c r="C57" s="691">
        <v>2304375.38</v>
      </c>
      <c r="D57" s="587">
        <f t="shared" si="2"/>
        <v>2304375.38</v>
      </c>
      <c r="E57" s="587">
        <v>164203.92000000001</v>
      </c>
      <c r="F57" s="587">
        <v>43562.78</v>
      </c>
      <c r="G57" s="587">
        <v>256700</v>
      </c>
      <c r="H57" s="692">
        <f t="shared" si="18"/>
        <v>464466.7</v>
      </c>
      <c r="I57" s="693">
        <f t="shared" si="4"/>
        <v>2768842.08</v>
      </c>
      <c r="J57" s="690" t="s">
        <v>338</v>
      </c>
      <c r="K57" s="587">
        <f>'ตาราง 2'!B47</f>
        <v>1831248.97</v>
      </c>
      <c r="L57" s="587">
        <f t="shared" si="12"/>
        <v>1831248.97</v>
      </c>
      <c r="M57" s="587">
        <f>'ตาราง 2'!C47</f>
        <v>171207.46000000002</v>
      </c>
      <c r="N57" s="587">
        <f>'ตาราง 2'!D47</f>
        <v>6401.06</v>
      </c>
      <c r="O57" s="587">
        <f>'ตาราง 2'!E47</f>
        <v>200174.45566473989</v>
      </c>
      <c r="P57" s="692">
        <f t="shared" si="15"/>
        <v>377782.9756647399</v>
      </c>
      <c r="Q57" s="694">
        <f t="shared" si="16"/>
        <v>2209031.9456647397</v>
      </c>
      <c r="R57" s="640">
        <f t="shared" si="17"/>
        <v>-20.531655306957841</v>
      </c>
      <c r="S57" s="640">
        <f t="shared" si="13"/>
        <v>-18.66306547600939</v>
      </c>
      <c r="T57" s="640">
        <f t="shared" si="14"/>
        <v>-20.218203789190476</v>
      </c>
      <c r="U57" s="534"/>
      <c r="V57" s="534"/>
    </row>
    <row r="58" spans="1:22" s="558" customFormat="1" ht="24" customHeight="1">
      <c r="A58" s="690" t="s">
        <v>496</v>
      </c>
      <c r="B58" s="730"/>
      <c r="C58" s="691">
        <v>2880395.38</v>
      </c>
      <c r="D58" s="587">
        <f t="shared" si="2"/>
        <v>2880395.38</v>
      </c>
      <c r="E58" s="587">
        <v>166758.92000000001</v>
      </c>
      <c r="F58" s="587">
        <v>34057.5</v>
      </c>
      <c r="G58" s="587">
        <v>330042.86</v>
      </c>
      <c r="H58" s="692">
        <f t="shared" si="18"/>
        <v>530859.28</v>
      </c>
      <c r="I58" s="693">
        <f t="shared" si="4"/>
        <v>3411254.66</v>
      </c>
      <c r="J58" s="690" t="s">
        <v>339</v>
      </c>
      <c r="K58" s="587">
        <f>'ตาราง 2'!B48</f>
        <v>2680018.9699999997</v>
      </c>
      <c r="L58" s="587">
        <f t="shared" si="12"/>
        <v>2680018.9699999997</v>
      </c>
      <c r="M58" s="587">
        <f>'ตาราง 2'!C48</f>
        <v>205753.46000000002</v>
      </c>
      <c r="N58" s="587">
        <f>'ตาราง 2'!D48</f>
        <v>12021.060000000001</v>
      </c>
      <c r="O58" s="587">
        <f>'ตาราง 2'!E48</f>
        <v>300261.6834971098</v>
      </c>
      <c r="P58" s="692">
        <f t="shared" si="15"/>
        <v>518036.20349710982</v>
      </c>
      <c r="Q58" s="694">
        <f t="shared" si="16"/>
        <v>3198055.1734971097</v>
      </c>
      <c r="R58" s="640">
        <f t="shared" si="17"/>
        <v>-6.9565592068127877</v>
      </c>
      <c r="S58" s="640">
        <f t="shared" si="13"/>
        <v>-2.4155321355388586</v>
      </c>
      <c r="T58" s="640">
        <f t="shared" si="14"/>
        <v>-6.2498848005352512</v>
      </c>
      <c r="U58" s="534"/>
      <c r="V58" s="534"/>
    </row>
    <row r="59" spans="1:22" ht="24" customHeight="1">
      <c r="A59" s="1065" t="s">
        <v>526</v>
      </c>
      <c r="B59" s="1066"/>
      <c r="C59" s="691">
        <v>2765555.38</v>
      </c>
      <c r="D59" s="587">
        <f t="shared" si="2"/>
        <v>2765555.38</v>
      </c>
      <c r="E59" s="587">
        <v>197307.92</v>
      </c>
      <c r="F59" s="587">
        <v>48167.72</v>
      </c>
      <c r="G59" s="587">
        <v>293371.43</v>
      </c>
      <c r="H59" s="692">
        <f t="shared" si="18"/>
        <v>538847.07000000007</v>
      </c>
      <c r="I59" s="693">
        <f t="shared" si="4"/>
        <v>3304402.45</v>
      </c>
      <c r="J59" s="690" t="s">
        <v>340</v>
      </c>
      <c r="K59" s="587">
        <f>'ตาราง 2'!B49</f>
        <v>1996766.97</v>
      </c>
      <c r="L59" s="587">
        <f t="shared" si="12"/>
        <v>1996766.97</v>
      </c>
      <c r="M59" s="587">
        <f>'ตาราง 2'!C49</f>
        <v>212061.46000000002</v>
      </c>
      <c r="N59" s="587">
        <f>'ตาราง 2'!D49</f>
        <v>22733.06</v>
      </c>
      <c r="O59" s="587">
        <f>'ตาราง 2'!E49</f>
        <v>233536.86494219652</v>
      </c>
      <c r="P59" s="692">
        <f t="shared" si="15"/>
        <v>468331.38494219654</v>
      </c>
      <c r="Q59" s="694">
        <f t="shared" si="16"/>
        <v>2465098.3549421965</v>
      </c>
      <c r="R59" s="640">
        <f t="shared" si="17"/>
        <v>-27.798698791560629</v>
      </c>
      <c r="S59" s="640">
        <f t="shared" si="13"/>
        <v>-13.086400387739609</v>
      </c>
      <c r="T59" s="640">
        <f t="shared" si="14"/>
        <v>-25.399572472106225</v>
      </c>
      <c r="U59" s="534"/>
      <c r="V59" s="534"/>
    </row>
    <row r="60" spans="1:22" ht="24" customHeight="1">
      <c r="A60" s="690" t="s">
        <v>500</v>
      </c>
      <c r="B60" s="587"/>
      <c r="C60" s="691">
        <v>1426475.05</v>
      </c>
      <c r="D60" s="587">
        <f t="shared" si="2"/>
        <v>1426475.05</v>
      </c>
      <c r="E60" s="587">
        <v>157413.92000000001</v>
      </c>
      <c r="F60" s="587">
        <v>50721.95</v>
      </c>
      <c r="G60" s="587">
        <v>110014.29</v>
      </c>
      <c r="H60" s="692">
        <f t="shared" si="18"/>
        <v>318150.15999999997</v>
      </c>
      <c r="I60" s="693">
        <f t="shared" si="4"/>
        <v>1744625.21</v>
      </c>
      <c r="J60" s="690" t="s">
        <v>341</v>
      </c>
      <c r="K60" s="587">
        <f>'ตาราง 2'!B50</f>
        <v>846760.9</v>
      </c>
      <c r="L60" s="587">
        <f t="shared" si="12"/>
        <v>846760.9</v>
      </c>
      <c r="M60" s="587">
        <f>'ตาราง 2'!C50</f>
        <v>201089.46000000002</v>
      </c>
      <c r="N60" s="587">
        <f>'ตาราง 2'!D50</f>
        <v>13651.060000000001</v>
      </c>
      <c r="O60" s="587">
        <f>'ตาราง 2'!E50</f>
        <v>100087.22783236994</v>
      </c>
      <c r="P60" s="692">
        <f t="shared" si="15"/>
        <v>314827.74783236999</v>
      </c>
      <c r="Q60" s="694">
        <f t="shared" si="16"/>
        <v>1161588.6478323699</v>
      </c>
      <c r="R60" s="640">
        <f t="shared" si="17"/>
        <v>-40.639627731308728</v>
      </c>
      <c r="S60" s="640">
        <f t="shared" si="13"/>
        <v>-1.0442905851846764</v>
      </c>
      <c r="T60" s="640">
        <f t="shared" si="14"/>
        <v>-33.419015088497432</v>
      </c>
      <c r="U60" s="534"/>
      <c r="V60" s="534"/>
    </row>
    <row r="61" spans="1:22" ht="24" customHeight="1">
      <c r="A61" s="95" t="s">
        <v>1537</v>
      </c>
      <c r="B61" s="587"/>
      <c r="C61" s="691">
        <v>2479988.1800000002</v>
      </c>
      <c r="D61" s="587">
        <f t="shared" si="2"/>
        <v>2479988.1800000002</v>
      </c>
      <c r="E61" s="587">
        <v>170407.92</v>
      </c>
      <c r="F61" s="587">
        <v>51370.12</v>
      </c>
      <c r="G61" s="587">
        <v>256700</v>
      </c>
      <c r="H61" s="692">
        <f t="shared" si="18"/>
        <v>478478.04000000004</v>
      </c>
      <c r="I61" s="693">
        <f t="shared" si="4"/>
        <v>2958466.22</v>
      </c>
      <c r="J61" s="690" t="s">
        <v>455</v>
      </c>
      <c r="K61" s="587">
        <f>'ตาราง 2'!B51</f>
        <v>1877999.15</v>
      </c>
      <c r="L61" s="587">
        <f t="shared" si="12"/>
        <v>1877999.15</v>
      </c>
      <c r="M61" s="587">
        <f>'ตาราง 2'!C51</f>
        <v>175655.46000000002</v>
      </c>
      <c r="N61" s="587">
        <f>'ตาราง 2'!D51</f>
        <v>7721.06</v>
      </c>
      <c r="O61" s="587">
        <f>'ตาราง 2'!E51</f>
        <v>233536.86494219652</v>
      </c>
      <c r="P61" s="692">
        <f t="shared" si="15"/>
        <v>416913.38494219654</v>
      </c>
      <c r="Q61" s="694">
        <f t="shared" si="16"/>
        <v>2294912.5349421967</v>
      </c>
      <c r="R61" s="640">
        <f t="shared" si="17"/>
        <v>-24.273866902059197</v>
      </c>
      <c r="S61" s="640">
        <f t="shared" si="13"/>
        <v>-12.866767105508853</v>
      </c>
      <c r="T61" s="640">
        <f t="shared" si="14"/>
        <v>-22.428976223287872</v>
      </c>
      <c r="U61" s="534"/>
      <c r="V61" s="534"/>
    </row>
    <row r="62" spans="1:22" ht="24" customHeight="1">
      <c r="A62" s="690" t="s">
        <v>501</v>
      </c>
      <c r="B62" s="587"/>
      <c r="C62" s="691">
        <v>212443.48</v>
      </c>
      <c r="D62" s="587">
        <f t="shared" si="2"/>
        <v>212443.48</v>
      </c>
      <c r="E62" s="587">
        <v>158993.92000000001</v>
      </c>
      <c r="F62" s="587">
        <v>0</v>
      </c>
      <c r="G62" s="587">
        <v>36671.43</v>
      </c>
      <c r="H62" s="692">
        <f t="shared" si="18"/>
        <v>195665.35</v>
      </c>
      <c r="I62" s="693">
        <f t="shared" si="4"/>
        <v>408108.83</v>
      </c>
      <c r="J62" s="690" t="s">
        <v>342</v>
      </c>
      <c r="K62" s="587">
        <f>'ตาราง 2'!B52</f>
        <v>409819.62</v>
      </c>
      <c r="L62" s="587">
        <f t="shared" si="12"/>
        <v>409819.62</v>
      </c>
      <c r="M62" s="587">
        <f>'ตาราง 2'!C52</f>
        <v>162901.46000000002</v>
      </c>
      <c r="N62" s="587">
        <f>'ตาราง 2'!D52</f>
        <v>11481.060000000001</v>
      </c>
      <c r="O62" s="587">
        <f>'ตาราง 2'!E52</f>
        <v>33362.409277456645</v>
      </c>
      <c r="P62" s="692">
        <f t="shared" si="15"/>
        <v>207744.92927745666</v>
      </c>
      <c r="Q62" s="694">
        <f t="shared" si="16"/>
        <v>617564.54927745671</v>
      </c>
      <c r="R62" s="640">
        <f t="shared" si="17"/>
        <v>92.907600647475732</v>
      </c>
      <c r="S62" s="640">
        <f t="shared" si="13"/>
        <v>6.1735914291705969</v>
      </c>
      <c r="T62" s="640">
        <f t="shared" si="14"/>
        <v>51.323496058013909</v>
      </c>
      <c r="U62" s="534"/>
      <c r="V62" s="534"/>
    </row>
    <row r="63" spans="1:22" ht="24" customHeight="1">
      <c r="A63" s="690" t="s">
        <v>293</v>
      </c>
      <c r="B63" s="587"/>
      <c r="C63" s="691">
        <v>1241125.3799999999</v>
      </c>
      <c r="D63" s="587">
        <f t="shared" si="2"/>
        <v>1241125.3799999999</v>
      </c>
      <c r="E63" s="587">
        <v>163953.92000000001</v>
      </c>
      <c r="F63" s="587">
        <v>0</v>
      </c>
      <c r="G63" s="587">
        <v>73342.86</v>
      </c>
      <c r="H63" s="692">
        <f t="shared" si="18"/>
        <v>237296.78000000003</v>
      </c>
      <c r="I63" s="693">
        <f t="shared" si="4"/>
        <v>1478422.16</v>
      </c>
      <c r="J63" s="690" t="s">
        <v>293</v>
      </c>
      <c r="K63" s="587">
        <f>'ตาราง 2'!B53</f>
        <v>466105.1</v>
      </c>
      <c r="L63" s="587">
        <f t="shared" si="12"/>
        <v>466105.1</v>
      </c>
      <c r="M63" s="587">
        <f>'ตาราง 2'!C53</f>
        <v>7634.45</v>
      </c>
      <c r="N63" s="587">
        <f>'ตาราง 2'!D53</f>
        <v>7441.06</v>
      </c>
      <c r="O63" s="587">
        <f>'ตาราง 2'!E53</f>
        <v>66724.81855491329</v>
      </c>
      <c r="P63" s="692">
        <f t="shared" si="15"/>
        <v>81800.328554913285</v>
      </c>
      <c r="Q63" s="694">
        <f t="shared" si="16"/>
        <v>547905.42855491326</v>
      </c>
      <c r="R63" s="640">
        <f t="shared" si="17"/>
        <v>-62.444962651557411</v>
      </c>
      <c r="S63" s="640">
        <f t="shared" si="13"/>
        <v>-65.52826020019603</v>
      </c>
      <c r="T63" s="640">
        <f t="shared" si="14"/>
        <v>-62.939852812074108</v>
      </c>
      <c r="U63" s="534"/>
      <c r="V63" s="534"/>
    </row>
    <row r="64" spans="1:22" ht="24" customHeight="1">
      <c r="A64" s="690" t="s">
        <v>294</v>
      </c>
      <c r="B64" s="587"/>
      <c r="C64" s="691">
        <v>1417215.38</v>
      </c>
      <c r="D64" s="587">
        <f t="shared" si="2"/>
        <v>1417215.38</v>
      </c>
      <c r="E64" s="587">
        <v>168055.92</v>
      </c>
      <c r="F64" s="587">
        <v>0</v>
      </c>
      <c r="G64" s="587">
        <v>73342.86</v>
      </c>
      <c r="H64" s="692">
        <f t="shared" si="18"/>
        <v>241398.78000000003</v>
      </c>
      <c r="I64" s="693">
        <f t="shared" si="4"/>
        <v>1658614.16</v>
      </c>
      <c r="J64" s="690" t="s">
        <v>294</v>
      </c>
      <c r="K64" s="587">
        <f>'ตาราง 2'!B54</f>
        <v>709998.97</v>
      </c>
      <c r="L64" s="587">
        <f t="shared" si="12"/>
        <v>709998.97</v>
      </c>
      <c r="M64" s="587">
        <f>'ตาราง 2'!C54</f>
        <v>7634.45</v>
      </c>
      <c r="N64" s="587">
        <f>'ตาราง 2'!D54</f>
        <v>6281.06</v>
      </c>
      <c r="O64" s="587">
        <f>'ตาราง 2'!E54</f>
        <v>66724.81855491329</v>
      </c>
      <c r="P64" s="692">
        <f t="shared" si="15"/>
        <v>80640.328554913285</v>
      </c>
      <c r="Q64" s="694">
        <f t="shared" si="16"/>
        <v>790639.29855491326</v>
      </c>
      <c r="R64" s="640">
        <f t="shared" si="17"/>
        <v>-49.90183002388811</v>
      </c>
      <c r="S64" s="640">
        <f t="shared" si="13"/>
        <v>-66.594558367315159</v>
      </c>
      <c r="T64" s="640">
        <f t="shared" si="14"/>
        <v>-52.331330720406164</v>
      </c>
      <c r="U64" s="534"/>
      <c r="V64" s="534"/>
    </row>
    <row r="65" spans="1:23" ht="24" customHeight="1">
      <c r="A65" s="690" t="s">
        <v>343</v>
      </c>
      <c r="B65" s="587"/>
      <c r="C65" s="691">
        <v>1088997.71</v>
      </c>
      <c r="D65" s="587">
        <f t="shared" si="2"/>
        <v>1088997.71</v>
      </c>
      <c r="E65" s="587">
        <v>160293.92000000001</v>
      </c>
      <c r="F65" s="587">
        <v>0</v>
      </c>
      <c r="G65" s="587">
        <v>110014.29</v>
      </c>
      <c r="H65" s="692">
        <f t="shared" si="18"/>
        <v>270308.21000000002</v>
      </c>
      <c r="I65" s="693">
        <f t="shared" si="4"/>
        <v>1359305.92</v>
      </c>
      <c r="J65" s="690" t="s">
        <v>343</v>
      </c>
      <c r="K65" s="587">
        <f>'ตาราง 2'!B55</f>
        <v>607214.18999999994</v>
      </c>
      <c r="L65" s="587">
        <f t="shared" si="12"/>
        <v>607214.18999999994</v>
      </c>
      <c r="M65" s="587">
        <f>'ตาราง 2'!C55</f>
        <v>165501.46000000002</v>
      </c>
      <c r="N65" s="587">
        <f>'ตาราง 2'!D55</f>
        <v>6401.06</v>
      </c>
      <c r="O65" s="587">
        <f>'ตาราง 2'!E55</f>
        <v>133449.63710982658</v>
      </c>
      <c r="P65" s="692">
        <f t="shared" si="15"/>
        <v>305352.15710982657</v>
      </c>
      <c r="Q65" s="694">
        <f t="shared" si="16"/>
        <v>912566.34710982651</v>
      </c>
      <c r="R65" s="640">
        <f t="shared" si="17"/>
        <v>-44.241003959503274</v>
      </c>
      <c r="S65" s="640">
        <f t="shared" si="13"/>
        <v>12.964440521368752</v>
      </c>
      <c r="T65" s="640">
        <f t="shared" si="14"/>
        <v>-32.865270894293865</v>
      </c>
      <c r="U65" s="534"/>
      <c r="V65" s="534"/>
    </row>
    <row r="66" spans="1:23" s="558" customFormat="1" ht="24" customHeight="1">
      <c r="A66" s="690" t="s">
        <v>344</v>
      </c>
      <c r="B66" s="731"/>
      <c r="C66" s="691">
        <v>1454111.9</v>
      </c>
      <c r="D66" s="587">
        <f t="shared" si="2"/>
        <v>1454111.9</v>
      </c>
      <c r="E66" s="732">
        <v>153527.92000000001</v>
      </c>
      <c r="F66" s="732">
        <v>45901.78</v>
      </c>
      <c r="G66" s="732">
        <v>146685.72</v>
      </c>
      <c r="H66" s="692">
        <f t="shared" si="18"/>
        <v>346115.42000000004</v>
      </c>
      <c r="I66" s="693">
        <f t="shared" si="4"/>
        <v>1800227.3199999998</v>
      </c>
      <c r="J66" s="690" t="s">
        <v>344</v>
      </c>
      <c r="K66" s="587">
        <f>'ตาราง 2'!B56</f>
        <v>933443.73</v>
      </c>
      <c r="L66" s="587">
        <f t="shared" si="12"/>
        <v>933443.73</v>
      </c>
      <c r="M66" s="587">
        <f>'ตาราง 2'!C56</f>
        <v>30338.45</v>
      </c>
      <c r="N66" s="587">
        <f>'ตาราง 2'!D56</f>
        <v>6281.06</v>
      </c>
      <c r="O66" s="587">
        <f>'ตาราง 2'!E56</f>
        <v>133449.63710982658</v>
      </c>
      <c r="P66" s="692">
        <f t="shared" si="15"/>
        <v>170069.14710982659</v>
      </c>
      <c r="Q66" s="694">
        <f t="shared" si="16"/>
        <v>1103512.8771098265</v>
      </c>
      <c r="R66" s="640">
        <f t="shared" si="17"/>
        <v>-35.806609518841015</v>
      </c>
      <c r="S66" s="640">
        <f t="shared" si="13"/>
        <v>-50.863458464281486</v>
      </c>
      <c r="T66" s="640">
        <f t="shared" si="14"/>
        <v>-38.701470372651237</v>
      </c>
      <c r="U66" s="534"/>
      <c r="V66" s="534"/>
    </row>
    <row r="67" spans="1:23" s="558" customFormat="1" ht="24" customHeight="1">
      <c r="A67" s="159" t="s">
        <v>1538</v>
      </c>
      <c r="B67" s="731"/>
      <c r="C67" s="691">
        <v>1820796.44</v>
      </c>
      <c r="D67" s="587">
        <f t="shared" si="2"/>
        <v>1820796.44</v>
      </c>
      <c r="E67" s="732">
        <v>175013.92</v>
      </c>
      <c r="F67" s="732">
        <v>90186.78</v>
      </c>
      <c r="G67" s="732">
        <v>183357.15</v>
      </c>
      <c r="H67" s="692">
        <f t="shared" si="18"/>
        <v>448557.85</v>
      </c>
      <c r="I67" s="693">
        <f t="shared" si="4"/>
        <v>2269354.29</v>
      </c>
      <c r="J67" s="690" t="s">
        <v>345</v>
      </c>
      <c r="K67" s="587">
        <f>'ตาราง 2'!B57</f>
        <v>1288093.97</v>
      </c>
      <c r="L67" s="587">
        <f t="shared" si="12"/>
        <v>1288093.97</v>
      </c>
      <c r="M67" s="587">
        <f>'ตาราง 2'!C57</f>
        <v>26073.45</v>
      </c>
      <c r="N67" s="587">
        <f>'ตาราง 2'!D57</f>
        <v>6401.06</v>
      </c>
      <c r="O67" s="587">
        <f>'ตาราง 2'!E57</f>
        <v>133449.63710982658</v>
      </c>
      <c r="P67" s="692">
        <f t="shared" si="15"/>
        <v>165924.14710982659</v>
      </c>
      <c r="Q67" s="694">
        <f t="shared" si="16"/>
        <v>1454018.1171098265</v>
      </c>
      <c r="R67" s="640">
        <f t="shared" si="17"/>
        <v>-29.256563682648679</v>
      </c>
      <c r="S67" s="640">
        <f t="shared" si="13"/>
        <v>-63.009420722471674</v>
      </c>
      <c r="T67" s="640">
        <f t="shared" si="14"/>
        <v>-35.928112965127781</v>
      </c>
      <c r="U67" s="534"/>
      <c r="V67" s="534"/>
    </row>
    <row r="68" spans="1:23" ht="24" customHeight="1">
      <c r="A68" s="1038" t="s">
        <v>346</v>
      </c>
      <c r="B68" s="1038"/>
      <c r="C68" s="691">
        <v>2606837.64</v>
      </c>
      <c r="D68" s="587">
        <f t="shared" si="2"/>
        <v>2606837.64</v>
      </c>
      <c r="E68" s="733">
        <v>197225.92</v>
      </c>
      <c r="F68" s="733">
        <v>40335.949999999997</v>
      </c>
      <c r="G68" s="733">
        <v>366714.29</v>
      </c>
      <c r="H68" s="692">
        <f t="shared" si="18"/>
        <v>604276.15999999992</v>
      </c>
      <c r="I68" s="693">
        <f t="shared" si="4"/>
        <v>3211113.8</v>
      </c>
      <c r="J68" s="729" t="s">
        <v>346</v>
      </c>
      <c r="K68" s="587">
        <f>'ตาราง 2'!B58</f>
        <v>2169937.3600000003</v>
      </c>
      <c r="L68" s="587">
        <f t="shared" si="12"/>
        <v>2169937.3600000003</v>
      </c>
      <c r="M68" s="587">
        <f>'ตาราง 2'!C58</f>
        <v>66528.45</v>
      </c>
      <c r="N68" s="587">
        <f>'ตาราง 2'!D58</f>
        <v>7001.06</v>
      </c>
      <c r="O68" s="587">
        <f>'ตาราง 2'!E58</f>
        <v>333624.09277456644</v>
      </c>
      <c r="P68" s="692">
        <f t="shared" si="15"/>
        <v>407153.60277456645</v>
      </c>
      <c r="Q68" s="694">
        <f t="shared" si="16"/>
        <v>2577090.9627745668</v>
      </c>
      <c r="R68" s="640">
        <f t="shared" si="17"/>
        <v>-16.759781019580483</v>
      </c>
      <c r="S68" s="640">
        <f t="shared" si="13"/>
        <v>-32.621269921592386</v>
      </c>
      <c r="T68" s="640">
        <f t="shared" si="14"/>
        <v>-19.744639296976427</v>
      </c>
      <c r="U68" s="534"/>
      <c r="V68" s="534"/>
      <c r="W68" s="534"/>
    </row>
    <row r="69" spans="1:23" ht="21.75">
      <c r="A69" s="1038" t="s">
        <v>347</v>
      </c>
      <c r="B69" s="1038"/>
      <c r="C69" s="691">
        <v>1673866.81</v>
      </c>
      <c r="D69" s="587">
        <f t="shared" si="2"/>
        <v>1673866.81</v>
      </c>
      <c r="E69" s="590">
        <v>159423.92000000001</v>
      </c>
      <c r="F69" s="590">
        <v>42252.78</v>
      </c>
      <c r="G69" s="590">
        <v>183357.15</v>
      </c>
      <c r="H69" s="692">
        <f t="shared" si="18"/>
        <v>385033.85</v>
      </c>
      <c r="I69" s="693">
        <f t="shared" si="4"/>
        <v>2058900.6600000001</v>
      </c>
      <c r="J69" s="729" t="s">
        <v>347</v>
      </c>
      <c r="K69" s="587">
        <f>'ตาราง 2'!B59</f>
        <v>987505.1</v>
      </c>
      <c r="L69" s="587">
        <f t="shared" si="12"/>
        <v>987505.1</v>
      </c>
      <c r="M69" s="587">
        <f>'ตาราง 2'!C59</f>
        <v>15300.45</v>
      </c>
      <c r="N69" s="587">
        <f>'ตาราง 2'!D59</f>
        <v>6521.06</v>
      </c>
      <c r="O69" s="587">
        <f>'ตาราง 2'!E59</f>
        <v>133449.63710982658</v>
      </c>
      <c r="P69" s="692">
        <f t="shared" si="15"/>
        <v>155271.14710982659</v>
      </c>
      <c r="Q69" s="694">
        <f t="shared" si="16"/>
        <v>1142776.2471098267</v>
      </c>
      <c r="R69" s="640">
        <f t="shared" si="17"/>
        <v>-41.004559377098829</v>
      </c>
      <c r="S69" s="640">
        <f t="shared" si="13"/>
        <v>-59.673377519969584</v>
      </c>
      <c r="T69" s="640">
        <f t="shared" si="14"/>
        <v>-44.495804517842714</v>
      </c>
      <c r="U69" s="534"/>
      <c r="V69" s="534"/>
      <c r="W69" s="534"/>
    </row>
    <row r="70" spans="1:23" ht="21.75">
      <c r="A70" s="1038" t="s">
        <v>1498</v>
      </c>
      <c r="B70" s="1038"/>
      <c r="C70" s="691">
        <v>1170671.8999999999</v>
      </c>
      <c r="D70" s="587">
        <f t="shared" si="2"/>
        <v>1170671.8999999999</v>
      </c>
      <c r="E70" s="587">
        <v>157173.92000000001</v>
      </c>
      <c r="F70" s="587">
        <v>40905.949999999997</v>
      </c>
      <c r="G70" s="587">
        <v>73342.86</v>
      </c>
      <c r="H70" s="692">
        <f t="shared" si="18"/>
        <v>271422.73</v>
      </c>
      <c r="I70" s="693">
        <f t="shared" si="4"/>
        <v>1442094.63</v>
      </c>
      <c r="J70" s="729" t="s">
        <v>348</v>
      </c>
      <c r="K70" s="587">
        <f>'ตาราง 2'!B60</f>
        <v>677732.72</v>
      </c>
      <c r="L70" s="587">
        <f t="shared" si="12"/>
        <v>677732.72</v>
      </c>
      <c r="M70" s="587">
        <f>'ตาราง 2'!C60</f>
        <v>25323.200000000001</v>
      </c>
      <c r="N70" s="587">
        <f>'ตาราง 2'!D60</f>
        <v>6881.06</v>
      </c>
      <c r="O70" s="587">
        <f>'ตาราง 2'!E60</f>
        <v>100087.22783236994</v>
      </c>
      <c r="P70" s="692">
        <f t="shared" si="15"/>
        <v>132291.48783236995</v>
      </c>
      <c r="Q70" s="694">
        <f t="shared" si="16"/>
        <v>810024.20783236995</v>
      </c>
      <c r="R70" s="640">
        <f t="shared" si="17"/>
        <v>-42.107372697678997</v>
      </c>
      <c r="S70" s="640">
        <f t="shared" si="13"/>
        <v>-51.259981862104929</v>
      </c>
      <c r="T70" s="640">
        <f t="shared" si="14"/>
        <v>-43.830023981687667</v>
      </c>
      <c r="U70" s="534"/>
      <c r="V70" s="534"/>
      <c r="W70" s="534"/>
    </row>
    <row r="71" spans="1:23" ht="21.75">
      <c r="A71" s="1038" t="s">
        <v>1535</v>
      </c>
      <c r="B71" s="1038"/>
      <c r="C71" s="691">
        <v>1619475.38</v>
      </c>
      <c r="D71" s="587">
        <f t="shared" si="2"/>
        <v>1619475.38</v>
      </c>
      <c r="E71" s="587">
        <v>158513.92000000001</v>
      </c>
      <c r="F71" s="587">
        <v>46751.78</v>
      </c>
      <c r="G71" s="587">
        <v>110014.29</v>
      </c>
      <c r="H71" s="692">
        <f t="shared" si="18"/>
        <v>315279.99</v>
      </c>
      <c r="I71" s="693">
        <f t="shared" si="4"/>
        <v>1934755.3699999999</v>
      </c>
      <c r="J71" s="729" t="s">
        <v>349</v>
      </c>
      <c r="K71" s="587">
        <f>'ตาราง 2'!B61</f>
        <v>973368.97</v>
      </c>
      <c r="L71" s="587">
        <f t="shared" si="12"/>
        <v>973368.97</v>
      </c>
      <c r="M71" s="587">
        <f>'ตาราง 2'!C61</f>
        <v>13490.45</v>
      </c>
      <c r="N71" s="587">
        <f>'ตาราง 2'!D61</f>
        <v>6401.06</v>
      </c>
      <c r="O71" s="587">
        <f>'ตาราง 2'!E61</f>
        <v>100087.22783236994</v>
      </c>
      <c r="P71" s="692">
        <f t="shared" si="15"/>
        <v>119978.73783236995</v>
      </c>
      <c r="Q71" s="694">
        <f t="shared" si="16"/>
        <v>1093347.70783237</v>
      </c>
      <c r="R71" s="640">
        <f t="shared" si="17"/>
        <v>-39.896031639579476</v>
      </c>
      <c r="S71" s="640">
        <f t="shared" si="13"/>
        <v>-61.945336958311259</v>
      </c>
      <c r="T71" s="640">
        <f t="shared" si="14"/>
        <v>-43.489098167880002</v>
      </c>
    </row>
    <row r="72" spans="1:23" ht="21.75">
      <c r="A72" s="1038" t="s">
        <v>1499</v>
      </c>
      <c r="B72" s="1038"/>
      <c r="C72" s="691">
        <v>3047485.38</v>
      </c>
      <c r="D72" s="587">
        <f t="shared" si="2"/>
        <v>3047485.38</v>
      </c>
      <c r="E72" s="587">
        <v>212929.92000000001</v>
      </c>
      <c r="F72" s="587">
        <v>41535.120000000003</v>
      </c>
      <c r="G72" s="587">
        <v>220028.57</v>
      </c>
      <c r="H72" s="692">
        <f t="shared" si="18"/>
        <v>474493.61</v>
      </c>
      <c r="I72" s="693">
        <f t="shared" si="4"/>
        <v>3521978.9899999998</v>
      </c>
      <c r="J72" s="729" t="s">
        <v>410</v>
      </c>
      <c r="K72" s="587">
        <f>'ตาราง 2'!B62</f>
        <v>2741539.3</v>
      </c>
      <c r="L72" s="587">
        <f t="shared" si="12"/>
        <v>2741539.3</v>
      </c>
      <c r="M72" s="587">
        <f>'ตาราง 2'!C62</f>
        <v>260986.34000000003</v>
      </c>
      <c r="N72" s="587">
        <f>'ตาราง 2'!D62</f>
        <v>7361.06</v>
      </c>
      <c r="O72" s="587">
        <f>'ตาราง 2'!E62</f>
        <v>200174.45566473989</v>
      </c>
      <c r="P72" s="692">
        <f t="shared" si="15"/>
        <v>468521.85566473991</v>
      </c>
      <c r="Q72" s="694">
        <f t="shared" si="16"/>
        <v>3210061.1556647397</v>
      </c>
      <c r="R72" s="640">
        <f t="shared" si="17"/>
        <v>-10.039296070388371</v>
      </c>
      <c r="S72" s="640">
        <f t="shared" si="13"/>
        <v>-1.258553162656938</v>
      </c>
      <c r="T72" s="640">
        <f t="shared" si="14"/>
        <v>-8.8563229712866658</v>
      </c>
    </row>
    <row r="73" spans="1:23" ht="21.75">
      <c r="A73" s="1038" t="s">
        <v>1503</v>
      </c>
      <c r="B73" s="1038"/>
      <c r="C73" s="734">
        <v>1635299.05</v>
      </c>
      <c r="D73" s="735">
        <f t="shared" si="2"/>
        <v>1635299.05</v>
      </c>
      <c r="E73" s="735">
        <v>377210.42</v>
      </c>
      <c r="F73" s="735">
        <v>259576.44</v>
      </c>
      <c r="G73" s="735">
        <v>146685.72</v>
      </c>
      <c r="H73" s="692">
        <f t="shared" si="18"/>
        <v>783472.58</v>
      </c>
      <c r="I73" s="693">
        <f t="shared" si="4"/>
        <v>2418771.63</v>
      </c>
      <c r="J73" s="736" t="s">
        <v>530</v>
      </c>
      <c r="K73" s="735">
        <f>'ตาราง 2'!B63</f>
        <v>1137356.72</v>
      </c>
      <c r="L73" s="587">
        <f t="shared" si="12"/>
        <v>1137356.72</v>
      </c>
      <c r="M73" s="587">
        <f>'ตาราง 2'!C63</f>
        <v>48025.45</v>
      </c>
      <c r="N73" s="587">
        <f>'ตาราง 2'!D63</f>
        <v>110183.06</v>
      </c>
      <c r="O73" s="587">
        <f>'ตาราง 2'!E63</f>
        <v>133449.63710982658</v>
      </c>
      <c r="P73" s="692">
        <f t="shared" si="15"/>
        <v>291658.14710982656</v>
      </c>
      <c r="Q73" s="694">
        <f t="shared" si="16"/>
        <v>1429014.8671098265</v>
      </c>
      <c r="R73" s="640">
        <f>+(L73-D73)/L73</f>
        <v>-0.43780664521857321</v>
      </c>
      <c r="S73" s="640">
        <f>+(P73-H73)/P73</f>
        <v>-1.6862701685647621</v>
      </c>
      <c r="T73" s="640">
        <f>+(Q73-I73)/Q73</f>
        <v>-0.69261474157504754</v>
      </c>
    </row>
    <row r="74" spans="1:23" ht="22.5" thickBot="1">
      <c r="A74" s="1040" t="s">
        <v>1501</v>
      </c>
      <c r="B74" s="1040"/>
      <c r="C74" s="698">
        <v>939791.9</v>
      </c>
      <c r="D74" s="699">
        <f t="shared" si="2"/>
        <v>939791.9</v>
      </c>
      <c r="E74" s="699">
        <v>157487.87</v>
      </c>
      <c r="F74" s="699">
        <v>0</v>
      </c>
      <c r="G74" s="699">
        <f>73342.86-0.02</f>
        <v>73342.84</v>
      </c>
      <c r="H74" s="692">
        <f t="shared" si="18"/>
        <v>230830.71</v>
      </c>
      <c r="I74" s="700">
        <f t="shared" si="4"/>
        <v>1170622.6100000001</v>
      </c>
      <c r="J74" s="737" t="s">
        <v>531</v>
      </c>
      <c r="K74" s="699">
        <f>'ตาราง 2'!B64</f>
        <v>333720.15000000002</v>
      </c>
      <c r="L74" s="699">
        <f t="shared" si="12"/>
        <v>333720.15000000002</v>
      </c>
      <c r="M74" s="587">
        <f>'ตาราง 2'!C64</f>
        <v>12590.4</v>
      </c>
      <c r="N74" s="587">
        <f>'ตาราง 2'!D64</f>
        <v>6281.1200000000008</v>
      </c>
      <c r="O74" s="699">
        <f>'ตาราง 2'!E64</f>
        <v>66724.81855491329</v>
      </c>
      <c r="P74" s="692">
        <f t="shared" si="15"/>
        <v>85596.338554913295</v>
      </c>
      <c r="Q74" s="694">
        <f t="shared" si="16"/>
        <v>419316.48855491332</v>
      </c>
      <c r="R74" s="701">
        <f t="shared" si="17"/>
        <v>-64.489995072313349</v>
      </c>
      <c r="S74" s="701">
        <f t="shared" si="13"/>
        <v>-62.918132273251992</v>
      </c>
      <c r="T74" s="701">
        <f t="shared" si="14"/>
        <v>-64.180045304702148</v>
      </c>
    </row>
    <row r="75" spans="1:23" s="558" customFormat="1" ht="22.5" thickBot="1">
      <c r="A75" s="1037" t="s">
        <v>1</v>
      </c>
      <c r="B75" s="1037"/>
      <c r="C75" s="738">
        <f t="shared" ref="C75:H75" si="19">SUM(C53:C74)</f>
        <v>37730922.849999994</v>
      </c>
      <c r="D75" s="738">
        <f t="shared" si="19"/>
        <v>37730922.849999994</v>
      </c>
      <c r="E75" s="738">
        <f t="shared" si="19"/>
        <v>3928007.1699999995</v>
      </c>
      <c r="F75" s="738">
        <f t="shared" si="19"/>
        <v>1446241.94</v>
      </c>
      <c r="G75" s="738">
        <f t="shared" si="19"/>
        <v>3483785.76</v>
      </c>
      <c r="H75" s="738">
        <f t="shared" si="19"/>
        <v>8858034.870000001</v>
      </c>
      <c r="I75" s="739">
        <f t="shared" si="4"/>
        <v>46588957.719999999</v>
      </c>
      <c r="J75" s="740" t="s">
        <v>1</v>
      </c>
      <c r="K75" s="741">
        <f>SUM(K53:K74)</f>
        <v>27439036.929999996</v>
      </c>
      <c r="L75" s="741">
        <f t="shared" ref="L75:Q75" si="20">SUM(L53:L74)</f>
        <v>27439036.929999996</v>
      </c>
      <c r="M75" s="742">
        <f t="shared" si="20"/>
        <v>2549715.6000000006</v>
      </c>
      <c r="N75" s="742">
        <f t="shared" si="20"/>
        <v>628163.52999999991</v>
      </c>
      <c r="O75" s="742">
        <f t="shared" si="20"/>
        <v>3069341.6535260119</v>
      </c>
      <c r="P75" s="743">
        <f t="shared" si="20"/>
        <v>6247220.7835260127</v>
      </c>
      <c r="Q75" s="742">
        <f t="shared" si="20"/>
        <v>33686257.713526011</v>
      </c>
      <c r="R75" s="744"/>
      <c r="S75" s="744"/>
      <c r="T75" s="701"/>
    </row>
    <row r="76" spans="1:23" s="558" customFormat="1" ht="22.5" thickBot="1">
      <c r="A76" s="1039" t="s">
        <v>361</v>
      </c>
      <c r="B76" s="1039"/>
      <c r="C76" s="745">
        <f>+C37+C75</f>
        <v>146307169.19</v>
      </c>
      <c r="D76" s="745">
        <f>D37+D75</f>
        <v>146307169.19</v>
      </c>
      <c r="E76" s="745">
        <f>E37+E75</f>
        <v>9744107.839999998</v>
      </c>
      <c r="F76" s="745">
        <f>F37+F75</f>
        <v>2085247</v>
      </c>
      <c r="G76" s="745">
        <f>G37+G75</f>
        <v>12688314.459999997</v>
      </c>
      <c r="H76" s="745">
        <f>H37+H75</f>
        <v>24517669.300000004</v>
      </c>
      <c r="I76" s="746">
        <f t="shared" si="4"/>
        <v>170824838.49000001</v>
      </c>
      <c r="J76" s="747" t="s">
        <v>361</v>
      </c>
      <c r="K76" s="748">
        <f t="shared" ref="K76:Q76" si="21">K37+K75</f>
        <v>152824088.09999999</v>
      </c>
      <c r="L76" s="748">
        <f t="shared" si="21"/>
        <v>152824088.09999999</v>
      </c>
      <c r="M76" s="748">
        <f t="shared" si="21"/>
        <v>9518824.2800000012</v>
      </c>
      <c r="N76" s="748">
        <f t="shared" si="21"/>
        <v>939137.40999999992</v>
      </c>
      <c r="O76" s="748">
        <f t="shared" si="21"/>
        <v>11543393.609999999</v>
      </c>
      <c r="P76" s="748">
        <f t="shared" si="21"/>
        <v>22001355.300000004</v>
      </c>
      <c r="Q76" s="748">
        <f t="shared" si="21"/>
        <v>174825443.39999998</v>
      </c>
      <c r="R76" s="749"/>
      <c r="S76" s="749"/>
      <c r="T76" s="750"/>
    </row>
    <row r="77" spans="1:23" ht="22.5" thickTop="1">
      <c r="D77" s="534"/>
      <c r="G77" s="534"/>
      <c r="K77" s="930">
        <f>106161048.51+46663039.59</f>
        <v>152824088.10000002</v>
      </c>
      <c r="P77" s="534">
        <f>22001355.3</f>
        <v>22001355.300000001</v>
      </c>
      <c r="Q77" s="884">
        <f>174825443.4-Q76</f>
        <v>0</v>
      </c>
      <c r="R77" s="558"/>
      <c r="S77" s="558"/>
      <c r="T77" s="558"/>
    </row>
    <row r="78" spans="1:23">
      <c r="A78" s="264" t="s">
        <v>475</v>
      </c>
      <c r="B78" s="239"/>
      <c r="C78" s="239"/>
      <c r="D78" s="239"/>
      <c r="F78" s="239"/>
      <c r="J78" s="239"/>
      <c r="K78" s="929">
        <f>K76-K77</f>
        <v>0</v>
      </c>
      <c r="L78" s="239"/>
      <c r="M78" s="239"/>
      <c r="P78" s="789">
        <f>SUM(M76:O76)</f>
        <v>22001355.300000001</v>
      </c>
      <c r="Q78" s="751"/>
    </row>
    <row r="79" spans="1:23">
      <c r="A79" s="264" t="s">
        <v>476</v>
      </c>
      <c r="B79" s="239"/>
      <c r="C79" s="239"/>
      <c r="D79" s="239"/>
      <c r="F79" s="239"/>
      <c r="J79" s="239"/>
      <c r="K79" s="752"/>
      <c r="L79" s="239"/>
      <c r="M79" s="239"/>
      <c r="P79" s="534">
        <f>P77-P78</f>
        <v>0</v>
      </c>
      <c r="Q79" s="751"/>
    </row>
    <row r="80" spans="1:23">
      <c r="A80" s="493" t="s">
        <v>1575</v>
      </c>
      <c r="B80" s="239"/>
      <c r="C80" s="239"/>
      <c r="D80" s="239"/>
      <c r="F80" s="239"/>
      <c r="G80" s="239"/>
      <c r="J80" s="239"/>
      <c r="K80" s="752"/>
      <c r="L80" s="239"/>
      <c r="M80" s="239"/>
    </row>
    <row r="81" spans="1:13">
      <c r="A81" s="493" t="s">
        <v>1567</v>
      </c>
      <c r="B81" s="239"/>
      <c r="C81" s="239"/>
      <c r="D81" s="239"/>
      <c r="F81" s="239"/>
      <c r="G81" s="239"/>
      <c r="J81" s="239"/>
      <c r="K81" s="239"/>
      <c r="L81" s="239"/>
      <c r="M81" s="239"/>
    </row>
    <row r="82" spans="1:13">
      <c r="A82" s="493" t="s">
        <v>1568</v>
      </c>
      <c r="B82" s="239"/>
      <c r="C82" s="239"/>
      <c r="D82" s="239"/>
      <c r="F82" s="239"/>
      <c r="G82" s="239"/>
      <c r="J82" s="239"/>
      <c r="K82" s="239"/>
      <c r="L82" s="239"/>
      <c r="M82" s="239"/>
    </row>
    <row r="83" spans="1:13">
      <c r="A83" s="493" t="s">
        <v>1530</v>
      </c>
      <c r="D83" s="239"/>
      <c r="J83" s="239"/>
      <c r="K83" s="239"/>
      <c r="L83" s="239"/>
      <c r="M83" s="239"/>
    </row>
    <row r="84" spans="1:13">
      <c r="D84" s="239"/>
      <c r="J84" s="239"/>
      <c r="K84" s="239"/>
      <c r="L84" s="239"/>
      <c r="M84" s="239"/>
    </row>
    <row r="85" spans="1:13">
      <c r="D85" s="239"/>
      <c r="J85" s="239"/>
      <c r="K85" s="239"/>
      <c r="L85" s="239"/>
      <c r="M85" s="239"/>
    </row>
    <row r="86" spans="1:13">
      <c r="D86" s="239"/>
      <c r="J86" s="239"/>
      <c r="K86" s="239"/>
      <c r="L86" s="239"/>
      <c r="M86" s="239"/>
    </row>
    <row r="87" spans="1:13">
      <c r="D87" s="239"/>
      <c r="J87" s="239"/>
      <c r="K87" s="239"/>
      <c r="L87" s="239"/>
      <c r="M87" s="239"/>
    </row>
    <row r="88" spans="1:13">
      <c r="D88" s="239"/>
      <c r="J88" s="239"/>
      <c r="K88" s="239"/>
      <c r="L88" s="239"/>
      <c r="M88" s="239"/>
    </row>
    <row r="89" spans="1:13">
      <c r="D89" s="239"/>
      <c r="J89" s="239"/>
      <c r="K89" s="239"/>
      <c r="L89" s="239"/>
      <c r="M89" s="239"/>
    </row>
    <row r="90" spans="1:13">
      <c r="D90" s="239"/>
      <c r="J90" s="239"/>
      <c r="K90" s="239"/>
      <c r="L90" s="239"/>
      <c r="M90" s="239"/>
    </row>
    <row r="91" spans="1:13">
      <c r="J91" s="239"/>
      <c r="K91" s="239"/>
      <c r="L91" s="239"/>
      <c r="M91" s="239"/>
    </row>
    <row r="92" spans="1:13">
      <c r="J92" s="239"/>
      <c r="K92" s="239"/>
      <c r="L92" s="239"/>
      <c r="M92" s="239"/>
    </row>
    <row r="93" spans="1:13">
      <c r="C93" s="562">
        <f>(9518824.28-9744107.84)/9744107.84*100</f>
        <v>-2.3119978113871174</v>
      </c>
      <c r="J93" s="239"/>
      <c r="K93" s="239"/>
      <c r="L93" s="239"/>
      <c r="M93" s="239"/>
    </row>
    <row r="94" spans="1:13">
      <c r="J94" s="239"/>
      <c r="K94" s="239"/>
      <c r="L94" s="239"/>
      <c r="M94" s="239"/>
    </row>
    <row r="95" spans="1:13">
      <c r="J95" s="239"/>
      <c r="K95" s="239"/>
      <c r="L95" s="239"/>
      <c r="M95" s="239"/>
    </row>
    <row r="96" spans="1:13">
      <c r="J96" s="239"/>
      <c r="K96" s="239"/>
      <c r="L96" s="239"/>
      <c r="M96" s="239"/>
    </row>
    <row r="97" spans="10:13">
      <c r="J97" s="239"/>
      <c r="K97" s="239"/>
      <c r="L97" s="239"/>
      <c r="M97" s="239"/>
    </row>
    <row r="98" spans="10:13">
      <c r="J98" s="239"/>
      <c r="K98" s="239"/>
      <c r="L98" s="239"/>
      <c r="M98" s="239"/>
    </row>
    <row r="99" spans="10:13">
      <c r="J99" s="239"/>
      <c r="K99" s="239"/>
      <c r="L99" s="239"/>
      <c r="M99" s="239"/>
    </row>
    <row r="100" spans="10:13">
      <c r="J100" s="239"/>
      <c r="K100" s="239"/>
      <c r="L100" s="239"/>
      <c r="M100" s="239"/>
    </row>
    <row r="101" spans="10:13">
      <c r="J101" s="239"/>
      <c r="K101" s="239"/>
      <c r="L101" s="239"/>
      <c r="M101" s="239"/>
    </row>
    <row r="102" spans="10:13">
      <c r="J102" s="239"/>
      <c r="K102" s="239"/>
      <c r="L102" s="239"/>
      <c r="M102" s="239"/>
    </row>
    <row r="103" spans="10:13">
      <c r="J103" s="239"/>
      <c r="K103" s="239"/>
      <c r="L103" s="239"/>
      <c r="M103" s="239"/>
    </row>
    <row r="104" spans="10:13">
      <c r="J104" s="239"/>
      <c r="K104" s="239"/>
      <c r="L104" s="239"/>
      <c r="M104" s="239"/>
    </row>
    <row r="105" spans="10:13">
      <c r="J105" s="239"/>
      <c r="K105" s="239"/>
      <c r="L105" s="239"/>
      <c r="M105" s="239"/>
    </row>
    <row r="106" spans="10:13">
      <c r="J106" s="239"/>
      <c r="K106" s="239"/>
      <c r="L106" s="239"/>
      <c r="M106" s="239"/>
    </row>
  </sheetData>
  <mergeCells count="72">
    <mergeCell ref="A36:B36"/>
    <mergeCell ref="A59:B59"/>
    <mergeCell ref="A1:T1"/>
    <mergeCell ref="A3:I3"/>
    <mergeCell ref="J3:P3"/>
    <mergeCell ref="A4:B7"/>
    <mergeCell ref="C4:I4"/>
    <mergeCell ref="J4:J7"/>
    <mergeCell ref="K4:Q4"/>
    <mergeCell ref="C5:D5"/>
    <mergeCell ref="E5:H5"/>
    <mergeCell ref="I5:I7"/>
    <mergeCell ref="P6:P7"/>
    <mergeCell ref="K5:L5"/>
    <mergeCell ref="M5:P5"/>
    <mergeCell ref="Q5:Q7"/>
    <mergeCell ref="A30:B30"/>
    <mergeCell ref="L6:L7"/>
    <mergeCell ref="M6:M7"/>
    <mergeCell ref="A28:B28"/>
    <mergeCell ref="A29:B29"/>
    <mergeCell ref="N6:N7"/>
    <mergeCell ref="O6:O7"/>
    <mergeCell ref="A25:B25"/>
    <mergeCell ref="A26:B26"/>
    <mergeCell ref="A27:B27"/>
    <mergeCell ref="A8:B8"/>
    <mergeCell ref="E6:E7"/>
    <mergeCell ref="F6:F7"/>
    <mergeCell ref="G6:G7"/>
    <mergeCell ref="H6:H7"/>
    <mergeCell ref="K6:K7"/>
    <mergeCell ref="C6:C7"/>
    <mergeCell ref="D6:D7"/>
    <mergeCell ref="Q49:Q51"/>
    <mergeCell ref="A31:B31"/>
    <mergeCell ref="A32:B32"/>
    <mergeCell ref="A33:B33"/>
    <mergeCell ref="A34:B34"/>
    <mergeCell ref="A35:B35"/>
    <mergeCell ref="J48:J51"/>
    <mergeCell ref="K48:Q48"/>
    <mergeCell ref="A37:B37"/>
    <mergeCell ref="P50:P51"/>
    <mergeCell ref="O50:O51"/>
    <mergeCell ref="A48:B51"/>
    <mergeCell ref="C48:I48"/>
    <mergeCell ref="E49:H49"/>
    <mergeCell ref="I49:I51"/>
    <mergeCell ref="C49:D49"/>
    <mergeCell ref="K50:K51"/>
    <mergeCell ref="L50:L51"/>
    <mergeCell ref="M50:M51"/>
    <mergeCell ref="N50:N51"/>
    <mergeCell ref="K49:L49"/>
    <mergeCell ref="M49:P49"/>
    <mergeCell ref="G50:G51"/>
    <mergeCell ref="H50:H51"/>
    <mergeCell ref="C50:C51"/>
    <mergeCell ref="D50:D51"/>
    <mergeCell ref="E50:E51"/>
    <mergeCell ref="F50:F51"/>
    <mergeCell ref="A75:B75"/>
    <mergeCell ref="A71:B71"/>
    <mergeCell ref="A76:B76"/>
    <mergeCell ref="A55:B55"/>
    <mergeCell ref="A68:B68"/>
    <mergeCell ref="A69:B69"/>
    <mergeCell ref="A70:B70"/>
    <mergeCell ref="A74:B74"/>
    <mergeCell ref="A73:B73"/>
    <mergeCell ref="A72:B72"/>
  </mergeCells>
  <pageMargins left="0.118110236220472" right="0.118110236220472" top="0.74803149606299202" bottom="0.74803149606299202" header="0.31496062992126" footer="0.31496062992126"/>
  <pageSetup paperSize="9" scale="4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89"/>
  <sheetViews>
    <sheetView topLeftCell="E21" workbookViewId="0">
      <selection activeCell="A80" sqref="A80"/>
    </sheetView>
  </sheetViews>
  <sheetFormatPr defaultRowHeight="24"/>
  <cols>
    <col min="1" max="1" width="31.42578125" style="239" customWidth="1"/>
    <col min="2" max="2" width="15.7109375" style="239" customWidth="1"/>
    <col min="3" max="3" width="15.28515625" style="239" customWidth="1"/>
    <col min="4" max="4" width="13.42578125" style="239" customWidth="1"/>
    <col min="5" max="5" width="16.42578125" style="239" customWidth="1"/>
    <col min="6" max="6" width="16.7109375" style="239" customWidth="1"/>
    <col min="7" max="7" width="15.28515625" style="239" customWidth="1"/>
    <col min="8" max="8" width="15.140625" style="790" customWidth="1"/>
    <col min="9" max="9" width="14.28515625" style="239" customWidth="1"/>
    <col min="10" max="10" width="16.28515625" style="264" customWidth="1"/>
    <col min="11" max="11" width="14.28515625" style="239" customWidth="1"/>
    <col min="12" max="12" width="15.85546875" style="239" customWidth="1"/>
    <col min="13" max="13" width="14.140625" style="239" customWidth="1"/>
    <col min="14" max="15" width="16.28515625" style="239" customWidth="1"/>
    <col min="16" max="16" width="15.5703125" style="239" customWidth="1"/>
    <col min="17" max="17" width="13.140625" style="239" customWidth="1"/>
    <col min="18" max="18" width="14.5703125" style="239" customWidth="1"/>
    <col min="19" max="19" width="15.5703125" style="264" customWidth="1"/>
    <col min="20" max="20" width="10.42578125" style="239" customWidth="1"/>
    <col min="21" max="16384" width="9.140625" style="239"/>
  </cols>
  <sheetData>
    <row r="1" spans="1:22">
      <c r="A1" s="960" t="s">
        <v>1560</v>
      </c>
      <c r="B1" s="960"/>
      <c r="C1" s="960"/>
      <c r="D1" s="960"/>
      <c r="E1" s="960"/>
      <c r="F1" s="960"/>
      <c r="G1" s="960"/>
      <c r="H1" s="960"/>
      <c r="I1" s="960"/>
      <c r="J1" s="960"/>
      <c r="K1" s="960"/>
      <c r="L1" s="960"/>
      <c r="M1" s="960"/>
      <c r="N1" s="960"/>
      <c r="O1" s="960"/>
      <c r="P1" s="960"/>
      <c r="Q1" s="960"/>
      <c r="R1" s="960"/>
      <c r="S1" s="960"/>
      <c r="T1" s="960"/>
      <c r="U1" s="960"/>
      <c r="V1" s="960"/>
    </row>
    <row r="2" spans="1:22">
      <c r="A2" s="264" t="s">
        <v>456</v>
      </c>
      <c r="B2" s="264"/>
      <c r="C2" s="264"/>
      <c r="D2" s="264"/>
      <c r="E2" s="264"/>
      <c r="F2" s="264"/>
      <c r="G2" s="264"/>
      <c r="H2" s="753"/>
      <c r="I2" s="264"/>
    </row>
    <row r="3" spans="1:22">
      <c r="A3" s="264"/>
      <c r="B3" s="264"/>
      <c r="C3" s="264"/>
      <c r="D3" s="264"/>
      <c r="E3" s="264"/>
      <c r="F3" s="264"/>
      <c r="G3" s="264"/>
      <c r="H3" s="753"/>
      <c r="I3" s="264"/>
    </row>
    <row r="4" spans="1:22" ht="24" customHeight="1">
      <c r="A4" s="991" t="s">
        <v>213</v>
      </c>
      <c r="B4" s="1059" t="s">
        <v>1525</v>
      </c>
      <c r="C4" s="1060"/>
      <c r="D4" s="1060"/>
      <c r="E4" s="1060"/>
      <c r="F4" s="1060"/>
      <c r="G4" s="1060"/>
      <c r="H4" s="1060"/>
      <c r="I4" s="1060"/>
      <c r="J4" s="1060"/>
      <c r="K4" s="1059" t="s">
        <v>1561</v>
      </c>
      <c r="L4" s="1060"/>
      <c r="M4" s="1060"/>
      <c r="N4" s="1060"/>
      <c r="O4" s="1060"/>
      <c r="P4" s="1060"/>
      <c r="Q4" s="1060"/>
      <c r="R4" s="1060"/>
      <c r="S4" s="1060"/>
      <c r="T4" s="679" t="s">
        <v>425</v>
      </c>
      <c r="U4" s="679" t="s">
        <v>425</v>
      </c>
      <c r="V4" s="679" t="s">
        <v>351</v>
      </c>
    </row>
    <row r="5" spans="1:22">
      <c r="A5" s="1058"/>
      <c r="B5" s="1054" t="s">
        <v>442</v>
      </c>
      <c r="C5" s="1054"/>
      <c r="D5" s="1054"/>
      <c r="E5" s="1054"/>
      <c r="F5" s="1044" t="s">
        <v>443</v>
      </c>
      <c r="G5" s="1000"/>
      <c r="H5" s="1000"/>
      <c r="I5" s="1000"/>
      <c r="J5" s="991" t="s">
        <v>1</v>
      </c>
      <c r="K5" s="1054" t="s">
        <v>442</v>
      </c>
      <c r="L5" s="1054"/>
      <c r="M5" s="1054"/>
      <c r="N5" s="1054"/>
      <c r="O5" s="1044" t="s">
        <v>443</v>
      </c>
      <c r="P5" s="1000"/>
      <c r="Q5" s="1000"/>
      <c r="R5" s="1000"/>
      <c r="S5" s="991" t="s">
        <v>1</v>
      </c>
      <c r="T5" s="680" t="s">
        <v>444</v>
      </c>
      <c r="U5" s="680" t="s">
        <v>445</v>
      </c>
      <c r="V5" s="680" t="s">
        <v>446</v>
      </c>
    </row>
    <row r="6" spans="1:22" ht="24" customHeight="1">
      <c r="A6" s="1058"/>
      <c r="B6" s="991" t="s">
        <v>17</v>
      </c>
      <c r="C6" s="991" t="s">
        <v>457</v>
      </c>
      <c r="D6" s="991" t="s">
        <v>457</v>
      </c>
      <c r="E6" s="991" t="s">
        <v>1</v>
      </c>
      <c r="F6" s="991" t="s">
        <v>458</v>
      </c>
      <c r="G6" s="991" t="s">
        <v>15</v>
      </c>
      <c r="H6" s="1068" t="s">
        <v>459</v>
      </c>
      <c r="I6" s="1059" t="s">
        <v>460</v>
      </c>
      <c r="J6" s="1058"/>
      <c r="K6" s="991" t="s">
        <v>17</v>
      </c>
      <c r="L6" s="991" t="s">
        <v>457</v>
      </c>
      <c r="M6" s="991" t="s">
        <v>457</v>
      </c>
      <c r="N6" s="991" t="s">
        <v>1</v>
      </c>
      <c r="O6" s="991" t="s">
        <v>461</v>
      </c>
      <c r="P6" s="991" t="s">
        <v>15</v>
      </c>
      <c r="Q6" s="991" t="s">
        <v>459</v>
      </c>
      <c r="R6" s="1059" t="s">
        <v>460</v>
      </c>
      <c r="S6" s="1058"/>
      <c r="T6" s="680" t="s">
        <v>449</v>
      </c>
      <c r="U6" s="680" t="s">
        <v>446</v>
      </c>
      <c r="V6" s="680" t="s">
        <v>450</v>
      </c>
    </row>
    <row r="7" spans="1:22" ht="33" customHeight="1">
      <c r="A7" s="1041"/>
      <c r="B7" s="1041"/>
      <c r="C7" s="1041"/>
      <c r="D7" s="1041"/>
      <c r="E7" s="1041"/>
      <c r="F7" s="1041"/>
      <c r="G7" s="1041"/>
      <c r="H7" s="1069"/>
      <c r="I7" s="1067"/>
      <c r="J7" s="1041"/>
      <c r="K7" s="1041"/>
      <c r="L7" s="1041"/>
      <c r="M7" s="1041"/>
      <c r="N7" s="1041"/>
      <c r="O7" s="1041"/>
      <c r="P7" s="1041"/>
      <c r="Q7" s="1041"/>
      <c r="R7" s="1067"/>
      <c r="S7" s="1041"/>
      <c r="T7" s="681"/>
      <c r="U7" s="682" t="s">
        <v>451</v>
      </c>
      <c r="V7" s="681"/>
    </row>
    <row r="8" spans="1:22">
      <c r="A8" s="754" t="s">
        <v>226</v>
      </c>
      <c r="B8" s="684"/>
      <c r="C8" s="685"/>
      <c r="D8" s="685"/>
      <c r="E8" s="685"/>
      <c r="F8" s="685"/>
      <c r="G8" s="685"/>
      <c r="H8" s="755"/>
      <c r="I8" s="685"/>
      <c r="J8" s="756"/>
      <c r="K8" s="688"/>
      <c r="L8" s="685"/>
      <c r="M8" s="685"/>
      <c r="N8" s="685"/>
      <c r="O8" s="685"/>
      <c r="P8" s="685"/>
      <c r="Q8" s="685"/>
      <c r="R8" s="685"/>
      <c r="S8" s="756"/>
      <c r="T8" s="685"/>
      <c r="U8" s="685"/>
      <c r="V8" s="579"/>
    </row>
    <row r="9" spans="1:22">
      <c r="A9" s="757" t="s">
        <v>312</v>
      </c>
      <c r="B9" s="691">
        <v>105783.76</v>
      </c>
      <c r="C9" s="587">
        <v>311950.59999999998</v>
      </c>
      <c r="D9" s="587">
        <v>306.27</v>
      </c>
      <c r="E9" s="587">
        <f>SUM(B9:D9)</f>
        <v>418040.63</v>
      </c>
      <c r="F9" s="587">
        <v>392738.42</v>
      </c>
      <c r="G9" s="587">
        <v>32518.15</v>
      </c>
      <c r="H9" s="758">
        <v>-8682.51</v>
      </c>
      <c r="I9" s="587">
        <v>11524.55</v>
      </c>
      <c r="J9" s="759">
        <f>E9+F9+G9+H9+I9</f>
        <v>846139.24000000011</v>
      </c>
      <c r="K9" s="587">
        <f>'ตาราง 2'!I6</f>
        <v>100642.35346820809</v>
      </c>
      <c r="L9" s="587">
        <f>'ตาราง 2'!J6</f>
        <v>242624.17598265896</v>
      </c>
      <c r="M9" s="587">
        <f>'ตาราง 2'!K6</f>
        <v>306.27127167630056</v>
      </c>
      <c r="N9" s="587">
        <f>SUM(K9:M9)</f>
        <v>343572.80072254332</v>
      </c>
      <c r="O9" s="587">
        <f>'ตาราง 2'!G6</f>
        <v>448329.38439306361</v>
      </c>
      <c r="P9" s="587">
        <f>'ตาราง 2'!H6</f>
        <v>30051.494768786128</v>
      </c>
      <c r="Q9" s="587">
        <f>'ตาราง 2'!L6</f>
        <v>2793.184971098266</v>
      </c>
      <c r="R9" s="587">
        <f>'ตาราง 2'!M6</f>
        <v>41.277456647398829</v>
      </c>
      <c r="S9" s="759">
        <f>N9+O9+P9+Q9+R9</f>
        <v>824788.14231213881</v>
      </c>
      <c r="T9" s="640">
        <f t="shared" ref="T9:T36" si="0">+(N9-E9)/E9*100</f>
        <v>-17.813538669065895</v>
      </c>
      <c r="U9" s="640">
        <f>+(S9-J9)/J9*100</f>
        <v>-2.5233551026260521</v>
      </c>
      <c r="V9" s="640">
        <f>+(S9-J9)/J9*100</f>
        <v>-2.5233551026260521</v>
      </c>
    </row>
    <row r="10" spans="1:22">
      <c r="A10" s="757" t="s">
        <v>313</v>
      </c>
      <c r="B10" s="691">
        <v>211567.52</v>
      </c>
      <c r="C10" s="587">
        <v>623901.19999999995</v>
      </c>
      <c r="D10" s="587">
        <v>612.54</v>
      </c>
      <c r="E10" s="587">
        <f t="shared" ref="E10:E36" si="1">SUM(B10:D10)</f>
        <v>836081.26</v>
      </c>
      <c r="F10" s="587">
        <v>785476.84</v>
      </c>
      <c r="G10" s="587">
        <v>65036.31</v>
      </c>
      <c r="H10" s="758">
        <v>-17365.02</v>
      </c>
      <c r="I10" s="587">
        <v>23049.1</v>
      </c>
      <c r="J10" s="759">
        <f t="shared" ref="J10:J36" si="2">E10+F10+G10+H10+I10</f>
        <v>1692278.4900000002</v>
      </c>
      <c r="K10" s="587">
        <f>'ตาราง 2'!I7</f>
        <v>301927.06040462427</v>
      </c>
      <c r="L10" s="587">
        <f>'ตาราง 2'!J7</f>
        <v>727872.52794797695</v>
      </c>
      <c r="M10" s="587">
        <f>'ตาราง 2'!K7</f>
        <v>918.81381502890179</v>
      </c>
      <c r="N10" s="587">
        <f t="shared" ref="N10:N36" si="3">SUM(K10:M10)</f>
        <v>1030718.4021676301</v>
      </c>
      <c r="O10" s="587">
        <f>'ตาราง 2'!G7</f>
        <v>1344988.1531791908</v>
      </c>
      <c r="P10" s="587">
        <f>'ตาราง 2'!H7</f>
        <v>90154.484306358383</v>
      </c>
      <c r="Q10" s="587">
        <f>'ตาราง 2'!L7</f>
        <v>8379.5549132947981</v>
      </c>
      <c r="R10" s="587">
        <f>'ตาราง 2'!M7</f>
        <v>123.83236994219649</v>
      </c>
      <c r="S10" s="759">
        <f t="shared" ref="S10:S36" si="4">N10+O10+P10+Q10+R10</f>
        <v>2474364.4269364164</v>
      </c>
      <c r="T10" s="640">
        <f t="shared" si="0"/>
        <v>23.27969199640118</v>
      </c>
      <c r="U10" s="640">
        <f t="shared" ref="U10:U36" si="5">+(S10-J10)/J10*100</f>
        <v>46.214966482048474</v>
      </c>
      <c r="V10" s="640">
        <f t="shared" ref="V10:V36" si="6">+(S10-J10)/J10*100</f>
        <v>46.214966482048474</v>
      </c>
    </row>
    <row r="11" spans="1:22">
      <c r="A11" s="757" t="s">
        <v>314</v>
      </c>
      <c r="B11" s="691">
        <v>105783.76</v>
      </c>
      <c r="C11" s="587">
        <v>311950.59999999998</v>
      </c>
      <c r="D11" s="587">
        <v>306.27</v>
      </c>
      <c r="E11" s="587">
        <f t="shared" si="1"/>
        <v>418040.63</v>
      </c>
      <c r="F11" s="587">
        <v>392738.42</v>
      </c>
      <c r="G11" s="587">
        <v>32518.15</v>
      </c>
      <c r="H11" s="758">
        <v>-8682.51</v>
      </c>
      <c r="I11" s="587">
        <v>11524.55</v>
      </c>
      <c r="J11" s="759">
        <f t="shared" si="2"/>
        <v>846139.24000000011</v>
      </c>
      <c r="K11" s="587">
        <f>'ตาราง 2'!I8</f>
        <v>100642.35346820809</v>
      </c>
      <c r="L11" s="587">
        <f>'ตาราง 2'!J8</f>
        <v>242624.17598265896</v>
      </c>
      <c r="M11" s="587">
        <f>'ตาราง 2'!K8</f>
        <v>306.27127167630056</v>
      </c>
      <c r="N11" s="587">
        <f t="shared" si="3"/>
        <v>343572.80072254332</v>
      </c>
      <c r="O11" s="587">
        <f>'ตาราง 2'!G8</f>
        <v>448329.38439306361</v>
      </c>
      <c r="P11" s="587">
        <f>'ตาราง 2'!H8</f>
        <v>30051.494768786128</v>
      </c>
      <c r="Q11" s="587">
        <f>'ตาราง 2'!L8</f>
        <v>2793.184971098266</v>
      </c>
      <c r="R11" s="587">
        <f>'ตาราง 2'!M8</f>
        <v>41.277456647398829</v>
      </c>
      <c r="S11" s="759">
        <f t="shared" si="4"/>
        <v>824788.14231213881</v>
      </c>
      <c r="T11" s="640">
        <f t="shared" si="0"/>
        <v>-17.813538669065895</v>
      </c>
      <c r="U11" s="640">
        <f t="shared" si="5"/>
        <v>-2.5233551026260521</v>
      </c>
      <c r="V11" s="640">
        <f t="shared" si="6"/>
        <v>-2.5233551026260521</v>
      </c>
    </row>
    <row r="12" spans="1:22">
      <c r="A12" s="757" t="s">
        <v>315</v>
      </c>
      <c r="B12" s="691">
        <v>423135.05</v>
      </c>
      <c r="C12" s="587">
        <v>1247802.4099999999</v>
      </c>
      <c r="D12" s="587">
        <v>1225.0899999999999</v>
      </c>
      <c r="E12" s="587">
        <f t="shared" si="1"/>
        <v>1672162.55</v>
      </c>
      <c r="F12" s="587">
        <v>1570953.68</v>
      </c>
      <c r="G12" s="587">
        <v>130072.61</v>
      </c>
      <c r="H12" s="758">
        <v>-34730.050000000003</v>
      </c>
      <c r="I12" s="587">
        <v>46098.2</v>
      </c>
      <c r="J12" s="759">
        <f t="shared" si="2"/>
        <v>3384556.99</v>
      </c>
      <c r="K12" s="587">
        <f>'ตาราง 2'!I9</f>
        <v>503211.76734104048</v>
      </c>
      <c r="L12" s="587">
        <f>'ตาราง 2'!J9</f>
        <v>1213120.8799132947</v>
      </c>
      <c r="M12" s="587">
        <f>'ตาราง 2'!K9</f>
        <v>1531.356358381503</v>
      </c>
      <c r="N12" s="587">
        <f t="shared" si="3"/>
        <v>1717864.0036127167</v>
      </c>
      <c r="O12" s="587">
        <f>'ตาราง 2'!G9</f>
        <v>2241646.9219653178</v>
      </c>
      <c r="P12" s="587">
        <f>'ตาราง 2'!H9</f>
        <v>150257.47384393061</v>
      </c>
      <c r="Q12" s="587">
        <f>'ตาราง 2'!L9</f>
        <v>13965.92485549133</v>
      </c>
      <c r="R12" s="587">
        <f>'ตาราง 2'!M9</f>
        <v>206.38728323699414</v>
      </c>
      <c r="S12" s="759">
        <f t="shared" si="4"/>
        <v>4123940.7115606936</v>
      </c>
      <c r="T12" s="640">
        <f t="shared" si="0"/>
        <v>2.73307482054999</v>
      </c>
      <c r="U12" s="640">
        <f t="shared" si="5"/>
        <v>21.845805041701876</v>
      </c>
      <c r="V12" s="640">
        <f t="shared" si="6"/>
        <v>21.845805041701876</v>
      </c>
    </row>
    <row r="13" spans="1:22">
      <c r="A13" s="757" t="s">
        <v>316</v>
      </c>
      <c r="B13" s="691">
        <v>317351.28999999998</v>
      </c>
      <c r="C13" s="587">
        <v>935851.8</v>
      </c>
      <c r="D13" s="587">
        <v>918.81</v>
      </c>
      <c r="E13" s="587">
        <f t="shared" si="1"/>
        <v>1254121.9000000001</v>
      </c>
      <c r="F13" s="587">
        <v>1178215.26</v>
      </c>
      <c r="G13" s="587">
        <v>97554.46</v>
      </c>
      <c r="H13" s="758">
        <v>-26047.53</v>
      </c>
      <c r="I13" s="587">
        <v>34573.65</v>
      </c>
      <c r="J13" s="759">
        <f t="shared" si="2"/>
        <v>2538417.7400000002</v>
      </c>
      <c r="K13" s="587">
        <f>'ตาราง 2'!I10</f>
        <v>301927.06040462427</v>
      </c>
      <c r="L13" s="587">
        <f>'ตาราง 2'!J10</f>
        <v>727872.52794797695</v>
      </c>
      <c r="M13" s="587">
        <f>'ตาราง 2'!K10</f>
        <v>918.81381502890179</v>
      </c>
      <c r="N13" s="587">
        <f t="shared" si="3"/>
        <v>1030718.4021676301</v>
      </c>
      <c r="O13" s="587">
        <f>'ตาราง 2'!G10</f>
        <v>1344988.1531791908</v>
      </c>
      <c r="P13" s="587">
        <f>'ตาราง 2'!H10</f>
        <v>90154.484306358383</v>
      </c>
      <c r="Q13" s="587">
        <f>'ตาราง 2'!L10</f>
        <v>8379.5549132947981</v>
      </c>
      <c r="R13" s="587">
        <f>'ตาราง 2'!M10</f>
        <v>123.83236994219649</v>
      </c>
      <c r="S13" s="759">
        <f t="shared" si="4"/>
        <v>2474364.4269364164</v>
      </c>
      <c r="T13" s="640">
        <f t="shared" si="0"/>
        <v>-17.813539324396611</v>
      </c>
      <c r="U13" s="640">
        <f t="shared" si="5"/>
        <v>-2.5233558706371078</v>
      </c>
      <c r="V13" s="640">
        <f t="shared" si="6"/>
        <v>-2.5233558706371078</v>
      </c>
    </row>
    <row r="14" spans="1:22" s="264" customFormat="1">
      <c r="A14" s="757" t="s">
        <v>317</v>
      </c>
      <c r="B14" s="691"/>
      <c r="C14" s="587"/>
      <c r="D14" s="587"/>
      <c r="E14" s="587">
        <f>SUM(B14:D14)</f>
        <v>0</v>
      </c>
      <c r="F14" s="587"/>
      <c r="G14" s="587"/>
      <c r="H14" s="758"/>
      <c r="I14" s="587"/>
      <c r="J14" s="759">
        <f t="shared" si="2"/>
        <v>0</v>
      </c>
      <c r="K14" s="587">
        <f>'ตาราง 2'!I11</f>
        <v>0</v>
      </c>
      <c r="L14" s="587">
        <f>'ตาราง 2'!J11</f>
        <v>0</v>
      </c>
      <c r="M14" s="587">
        <f>'ตาราง 2'!K11</f>
        <v>0</v>
      </c>
      <c r="N14" s="587">
        <f t="shared" si="3"/>
        <v>0</v>
      </c>
      <c r="O14" s="587">
        <f>'ตาราง 2'!G11</f>
        <v>0</v>
      </c>
      <c r="P14" s="587">
        <f>'ตาราง 2'!H11</f>
        <v>0</v>
      </c>
      <c r="Q14" s="587">
        <f>'ตาราง 2'!L11</f>
        <v>0</v>
      </c>
      <c r="R14" s="587">
        <f>'ตาราง 2'!M11</f>
        <v>0</v>
      </c>
      <c r="S14" s="759">
        <f t="shared" si="4"/>
        <v>0</v>
      </c>
      <c r="T14" s="640">
        <v>0</v>
      </c>
      <c r="U14" s="640">
        <v>0</v>
      </c>
      <c r="V14" s="640">
        <v>0</v>
      </c>
    </row>
    <row r="15" spans="1:22">
      <c r="A15" s="757" t="s">
        <v>318</v>
      </c>
      <c r="B15" s="691">
        <v>2750377.82</v>
      </c>
      <c r="C15" s="587">
        <v>8110715.6299999999</v>
      </c>
      <c r="D15" s="587">
        <v>7963.05</v>
      </c>
      <c r="E15" s="587">
        <f t="shared" si="1"/>
        <v>10869056.5</v>
      </c>
      <c r="F15" s="587">
        <v>10211198.9</v>
      </c>
      <c r="G15" s="587">
        <v>845471.97</v>
      </c>
      <c r="H15" s="758">
        <v>-225745.3</v>
      </c>
      <c r="I15" s="587">
        <v>299638.28000000003</v>
      </c>
      <c r="J15" s="759">
        <f t="shared" si="2"/>
        <v>21999620.349999998</v>
      </c>
      <c r="K15" s="587">
        <f>'ตาราง 2'!I12</f>
        <v>2516058.8367052018</v>
      </c>
      <c r="L15" s="587">
        <f>'ตาราง 2'!J12</f>
        <v>6065604.3995664734</v>
      </c>
      <c r="M15" s="587">
        <f>'ตาราง 2'!K12</f>
        <v>7656.7817919075142</v>
      </c>
      <c r="N15" s="587">
        <f t="shared" si="3"/>
        <v>8589320.0180635825</v>
      </c>
      <c r="O15" s="587">
        <f>'ตาราง 2'!G12</f>
        <v>11208234.609826589</v>
      </c>
      <c r="P15" s="587">
        <f>'ตาราง 2'!H12</f>
        <v>751287.36921965308</v>
      </c>
      <c r="Q15" s="587">
        <f>'ตาราง 2'!L12</f>
        <v>69829.624277456649</v>
      </c>
      <c r="R15" s="587">
        <f>'ตาราง 2'!M12</f>
        <v>1031.9364161849708</v>
      </c>
      <c r="S15" s="759">
        <f t="shared" si="4"/>
        <v>20619703.557803467</v>
      </c>
      <c r="T15" s="640">
        <f t="shared" si="0"/>
        <v>-20.974557285045094</v>
      </c>
      <c r="U15" s="640">
        <f t="shared" si="5"/>
        <v>-6.2724572980939239</v>
      </c>
      <c r="V15" s="640">
        <f t="shared" si="6"/>
        <v>-6.2724572980939239</v>
      </c>
    </row>
    <row r="16" spans="1:22">
      <c r="A16" s="757" t="s">
        <v>319</v>
      </c>
      <c r="B16" s="691">
        <v>1375188.91</v>
      </c>
      <c r="C16" s="587">
        <v>4055357.82</v>
      </c>
      <c r="D16" s="587">
        <v>3981.53</v>
      </c>
      <c r="E16" s="587">
        <f t="shared" si="1"/>
        <v>5434528.2599999998</v>
      </c>
      <c r="F16" s="587">
        <v>5105599.45</v>
      </c>
      <c r="G16" s="587">
        <v>422735.98</v>
      </c>
      <c r="H16" s="758">
        <v>-112872.65</v>
      </c>
      <c r="I16" s="587">
        <v>149819.14000000001</v>
      </c>
      <c r="J16" s="759">
        <f t="shared" si="2"/>
        <v>10999810.180000002</v>
      </c>
      <c r="K16" s="587">
        <f>'ตาราง 2'!I13</f>
        <v>1308350.5950867049</v>
      </c>
      <c r="L16" s="587">
        <f>'ตาราง 2'!J13</f>
        <v>3154114.2877745666</v>
      </c>
      <c r="M16" s="587">
        <f>'ตาราง 2'!K13</f>
        <v>3981.5265317919075</v>
      </c>
      <c r="N16" s="587">
        <f t="shared" si="3"/>
        <v>4466446.4093930637</v>
      </c>
      <c r="O16" s="587">
        <f>'ตาราง 2'!G13</f>
        <v>5828281.9971098267</v>
      </c>
      <c r="P16" s="587">
        <f>'ตาราง 2'!H13</f>
        <v>390669.43199421966</v>
      </c>
      <c r="Q16" s="587">
        <f>'ตาราง 2'!L13</f>
        <v>36311.404624277457</v>
      </c>
      <c r="R16" s="587">
        <f>'ตาราง 2'!M13</f>
        <v>536.60693641618479</v>
      </c>
      <c r="S16" s="759">
        <f t="shared" si="4"/>
        <v>10722245.850057805</v>
      </c>
      <c r="T16" s="640">
        <f t="shared" si="0"/>
        <v>-17.813539727677043</v>
      </c>
      <c r="U16" s="640">
        <f t="shared" si="5"/>
        <v>-2.5233556343260148</v>
      </c>
      <c r="V16" s="640">
        <f t="shared" si="6"/>
        <v>-2.5233556343260148</v>
      </c>
    </row>
    <row r="17" spans="1:22" s="599" customFormat="1">
      <c r="A17" s="757" t="s">
        <v>320</v>
      </c>
      <c r="B17" s="691">
        <v>1692540.2</v>
      </c>
      <c r="C17" s="587">
        <v>4991209.62</v>
      </c>
      <c r="D17" s="587">
        <v>4900.34</v>
      </c>
      <c r="E17" s="587">
        <f t="shared" si="1"/>
        <v>6688650.1600000001</v>
      </c>
      <c r="F17" s="695">
        <v>6283814.71</v>
      </c>
      <c r="G17" s="587">
        <v>520290.44</v>
      </c>
      <c r="H17" s="758">
        <v>-138920.18</v>
      </c>
      <c r="I17" s="587">
        <v>184392.79</v>
      </c>
      <c r="J17" s="759">
        <f t="shared" si="2"/>
        <v>13538227.92</v>
      </c>
      <c r="K17" s="587">
        <f>'ตาราง 2'!I14</f>
        <v>905781.18121387274</v>
      </c>
      <c r="L17" s="587">
        <f>'ตาราง 2'!J14</f>
        <v>2183617.5838439306</v>
      </c>
      <c r="M17" s="587">
        <f>'ตาราง 2'!K14</f>
        <v>2756.4414450867052</v>
      </c>
      <c r="N17" s="587">
        <f t="shared" si="3"/>
        <v>3092155.2065028897</v>
      </c>
      <c r="O17" s="587">
        <f>'ตาราง 2'!G14</f>
        <v>4034964.4595375722</v>
      </c>
      <c r="P17" s="587">
        <f>'ตาราง 2'!H14</f>
        <v>270463.45291907515</v>
      </c>
      <c r="Q17" s="587">
        <f>'ตาราง 2'!L14</f>
        <v>25138.664739884392</v>
      </c>
      <c r="R17" s="587">
        <f>'ตาราง 2'!M14</f>
        <v>371.49710982658945</v>
      </c>
      <c r="S17" s="759">
        <f t="shared" si="4"/>
        <v>7423093.2808092479</v>
      </c>
      <c r="T17" s="640">
        <f t="shared" si="0"/>
        <v>-53.77011605428487</v>
      </c>
      <c r="U17" s="640">
        <f t="shared" si="5"/>
        <v>-45.169387569231823</v>
      </c>
      <c r="V17" s="640">
        <f t="shared" si="6"/>
        <v>-45.169387569231823</v>
      </c>
    </row>
    <row r="18" spans="1:22" s="599" customFormat="1">
      <c r="A18" s="757" t="s">
        <v>321</v>
      </c>
      <c r="B18" s="691">
        <v>528918.81000000006</v>
      </c>
      <c r="C18" s="587">
        <v>1559753.01</v>
      </c>
      <c r="D18" s="587">
        <v>1531.36</v>
      </c>
      <c r="E18" s="587">
        <f t="shared" si="1"/>
        <v>2090203.1800000002</v>
      </c>
      <c r="F18" s="587">
        <v>1963692.1</v>
      </c>
      <c r="G18" s="587">
        <v>162590.76</v>
      </c>
      <c r="H18" s="758">
        <v>-43412.56</v>
      </c>
      <c r="I18" s="587">
        <v>57622.75</v>
      </c>
      <c r="J18" s="759">
        <f t="shared" si="2"/>
        <v>4230696.2300000004</v>
      </c>
      <c r="K18" s="587">
        <f>'ตาราง 2'!I15</f>
        <v>603854.12080924853</v>
      </c>
      <c r="L18" s="587">
        <f>'ตาราง 2'!J15</f>
        <v>1455745.0558959539</v>
      </c>
      <c r="M18" s="587">
        <f>'ตาราง 2'!K15</f>
        <v>1837.6276300578036</v>
      </c>
      <c r="N18" s="587">
        <f t="shared" si="3"/>
        <v>2061436.8043352603</v>
      </c>
      <c r="O18" s="587">
        <f>'ตาราง 2'!G15</f>
        <v>2689976.3063583816</v>
      </c>
      <c r="P18" s="587">
        <f>'ตาราง 2'!H15</f>
        <v>180308.96861271677</v>
      </c>
      <c r="Q18" s="587">
        <f>'ตาราง 2'!L15</f>
        <v>16759.109826589596</v>
      </c>
      <c r="R18" s="587">
        <f>'ตาราง 2'!M15</f>
        <v>247.66473988439299</v>
      </c>
      <c r="S18" s="759">
        <f t="shared" si="4"/>
        <v>4948728.8538728328</v>
      </c>
      <c r="T18" s="640">
        <f t="shared" si="0"/>
        <v>-1.3762478183934188</v>
      </c>
      <c r="U18" s="640">
        <f t="shared" si="5"/>
        <v>16.971973047396798</v>
      </c>
      <c r="V18" s="640">
        <f t="shared" si="6"/>
        <v>16.971973047396798</v>
      </c>
    </row>
    <row r="19" spans="1:22">
      <c r="A19" s="757" t="s">
        <v>322</v>
      </c>
      <c r="B19" s="691">
        <v>740486.34</v>
      </c>
      <c r="C19" s="587">
        <v>2183654.21</v>
      </c>
      <c r="D19" s="587">
        <v>2143.9</v>
      </c>
      <c r="E19" s="587">
        <f t="shared" si="1"/>
        <v>2926284.4499999997</v>
      </c>
      <c r="F19" s="587">
        <v>2749168.94</v>
      </c>
      <c r="G19" s="587">
        <v>227627.07</v>
      </c>
      <c r="H19" s="758">
        <v>-60777.58</v>
      </c>
      <c r="I19" s="587">
        <v>80671.839999999997</v>
      </c>
      <c r="J19" s="759">
        <f t="shared" si="2"/>
        <v>5922974.7199999997</v>
      </c>
      <c r="K19" s="587">
        <f>'ตาราง 2'!I16</f>
        <v>402569.41387283237</v>
      </c>
      <c r="L19" s="587">
        <f>'ตาราง 2'!J16</f>
        <v>970496.70393063582</v>
      </c>
      <c r="M19" s="587">
        <f>'ตาราง 2'!K16</f>
        <v>1225.0850867052022</v>
      </c>
      <c r="N19" s="587">
        <f t="shared" si="3"/>
        <v>1374291.2028901733</v>
      </c>
      <c r="O19" s="587">
        <f>'ตาราง 2'!G16</f>
        <v>1793317.5375722544</v>
      </c>
      <c r="P19" s="587">
        <f>'ตาราง 2'!H16</f>
        <v>120205.97907514451</v>
      </c>
      <c r="Q19" s="587">
        <f>'ตาราง 2'!L16</f>
        <v>11172.739884393064</v>
      </c>
      <c r="R19" s="587">
        <f>'ตาราง 2'!M16</f>
        <v>165.10982658959531</v>
      </c>
      <c r="S19" s="759">
        <f t="shared" si="4"/>
        <v>3299152.5692485552</v>
      </c>
      <c r="T19" s="640">
        <f t="shared" si="0"/>
        <v>-53.036308452851408</v>
      </c>
      <c r="U19" s="640">
        <f t="shared" si="5"/>
        <v>-44.299060434812134</v>
      </c>
      <c r="V19" s="640">
        <f t="shared" si="6"/>
        <v>-44.299060434812134</v>
      </c>
    </row>
    <row r="20" spans="1:22">
      <c r="A20" s="757" t="s">
        <v>250</v>
      </c>
      <c r="B20" s="691">
        <v>528918.81000000006</v>
      </c>
      <c r="C20" s="587">
        <v>1559753.01</v>
      </c>
      <c r="D20" s="587">
        <v>1531.36</v>
      </c>
      <c r="E20" s="587">
        <f t="shared" si="1"/>
        <v>2090203.1800000002</v>
      </c>
      <c r="F20" s="587">
        <v>1963692.1</v>
      </c>
      <c r="G20" s="587">
        <v>162590.76</v>
      </c>
      <c r="H20" s="758">
        <v>-43412.56</v>
      </c>
      <c r="I20" s="587">
        <v>57622.75</v>
      </c>
      <c r="J20" s="759">
        <f t="shared" si="2"/>
        <v>4230696.2300000004</v>
      </c>
      <c r="K20" s="587">
        <f>'ตาราง 2'!I17</f>
        <v>503211.76734104048</v>
      </c>
      <c r="L20" s="587">
        <f>'ตาราง 2'!J17</f>
        <v>1213120.8799132947</v>
      </c>
      <c r="M20" s="587">
        <f>'ตาราง 2'!K17</f>
        <v>1531.356358381503</v>
      </c>
      <c r="N20" s="587">
        <f t="shared" si="3"/>
        <v>1717864.0036127167</v>
      </c>
      <c r="O20" s="587">
        <f>'ตาราง 2'!G17</f>
        <v>2241646.9219653178</v>
      </c>
      <c r="P20" s="587">
        <f>'ตาราง 2'!H17</f>
        <v>150257.47384393061</v>
      </c>
      <c r="Q20" s="587">
        <f>'ตาราง 2'!L17</f>
        <v>13965.92485549133</v>
      </c>
      <c r="R20" s="587">
        <f>'ตาราง 2'!M17</f>
        <v>206.38728323699414</v>
      </c>
      <c r="S20" s="759">
        <f t="shared" si="4"/>
        <v>4123940.7115606936</v>
      </c>
      <c r="T20" s="640">
        <f t="shared" si="0"/>
        <v>-17.813539848661193</v>
      </c>
      <c r="U20" s="640">
        <f t="shared" si="5"/>
        <v>-2.5233557938360152</v>
      </c>
      <c r="V20" s="640">
        <f t="shared" si="6"/>
        <v>-2.5233557938360152</v>
      </c>
    </row>
    <row r="21" spans="1:22">
      <c r="A21" s="760" t="s">
        <v>323</v>
      </c>
      <c r="B21" s="691">
        <v>2327242.77</v>
      </c>
      <c r="C21" s="587">
        <v>6862913.2300000004</v>
      </c>
      <c r="D21" s="587">
        <v>6737.97</v>
      </c>
      <c r="E21" s="587">
        <f t="shared" si="1"/>
        <v>9196893.9700000007</v>
      </c>
      <c r="F21" s="587">
        <v>8640245.2300000004</v>
      </c>
      <c r="G21" s="587">
        <v>715399.36</v>
      </c>
      <c r="H21" s="758">
        <v>-191015.25</v>
      </c>
      <c r="I21" s="587">
        <v>253540.08</v>
      </c>
      <c r="J21" s="759">
        <f t="shared" si="2"/>
        <v>18615063.390000001</v>
      </c>
      <c r="K21" s="587">
        <f>'ตาราง 2'!I18</f>
        <v>2214131.7763005779</v>
      </c>
      <c r="L21" s="587">
        <f>'ตาราง 2'!J18</f>
        <v>5337731.8716184972</v>
      </c>
      <c r="M21" s="587">
        <f>'ตาราง 2'!K18</f>
        <v>6737.9679768786127</v>
      </c>
      <c r="N21" s="587">
        <f t="shared" si="3"/>
        <v>7558601.615895954</v>
      </c>
      <c r="O21" s="587">
        <f>'ตาราง 2'!G18</f>
        <v>9863246.4566473998</v>
      </c>
      <c r="P21" s="587">
        <f>'ตาราง 2'!H18</f>
        <v>661132.88491329469</v>
      </c>
      <c r="Q21" s="587">
        <f>'ตาราง 2'!L18</f>
        <v>61450.069364161849</v>
      </c>
      <c r="R21" s="587">
        <f>'ตาราง 2'!M18</f>
        <v>908.1040462427743</v>
      </c>
      <c r="S21" s="759">
        <f t="shared" si="4"/>
        <v>18145339.130867053</v>
      </c>
      <c r="T21" s="640">
        <f t="shared" si="0"/>
        <v>-17.813539652061973</v>
      </c>
      <c r="U21" s="640">
        <f t="shared" si="5"/>
        <v>-2.5233556786343434</v>
      </c>
      <c r="V21" s="640">
        <f t="shared" si="6"/>
        <v>-2.5233556786343434</v>
      </c>
    </row>
    <row r="22" spans="1:22">
      <c r="A22" s="761" t="s">
        <v>452</v>
      </c>
      <c r="B22" s="691">
        <v>211567.52</v>
      </c>
      <c r="C22" s="587">
        <v>623901.19999999995</v>
      </c>
      <c r="D22" s="587">
        <v>612.54</v>
      </c>
      <c r="E22" s="587">
        <f t="shared" si="1"/>
        <v>836081.26</v>
      </c>
      <c r="F22" s="587">
        <v>785476.84</v>
      </c>
      <c r="G22" s="587">
        <v>65036.31</v>
      </c>
      <c r="H22" s="758">
        <v>-17365.02</v>
      </c>
      <c r="I22" s="587">
        <v>23049.1</v>
      </c>
      <c r="J22" s="759">
        <f t="shared" si="2"/>
        <v>1692278.4900000002</v>
      </c>
      <c r="K22" s="587">
        <f>'ตาราง 2'!I19</f>
        <v>201284.70693641619</v>
      </c>
      <c r="L22" s="587">
        <f>'ตาราง 2'!J19</f>
        <v>485248.35196531791</v>
      </c>
      <c r="M22" s="587">
        <f>'ตาราง 2'!K19</f>
        <v>612.54254335260111</v>
      </c>
      <c r="N22" s="587">
        <f t="shared" si="3"/>
        <v>687145.60144508665</v>
      </c>
      <c r="O22" s="587">
        <f>'ตาราง 2'!G19</f>
        <v>896658.76878612721</v>
      </c>
      <c r="P22" s="587">
        <f>'ตาราง 2'!H19</f>
        <v>60102.989537572255</v>
      </c>
      <c r="Q22" s="587">
        <f>'ตาราง 2'!L19</f>
        <v>5586.3699421965321</v>
      </c>
      <c r="R22" s="587">
        <f>'ตาราง 2'!M19</f>
        <v>82.554913294797657</v>
      </c>
      <c r="S22" s="759">
        <f t="shared" si="4"/>
        <v>1649576.2846242776</v>
      </c>
      <c r="T22" s="640">
        <f t="shared" si="0"/>
        <v>-17.813538669065895</v>
      </c>
      <c r="U22" s="640">
        <f t="shared" si="5"/>
        <v>-2.5233556786343483</v>
      </c>
      <c r="V22" s="640">
        <f t="shared" si="6"/>
        <v>-2.5233556786343483</v>
      </c>
    </row>
    <row r="23" spans="1:22">
      <c r="A23" s="761" t="s">
        <v>259</v>
      </c>
      <c r="B23" s="691">
        <v>423135.05</v>
      </c>
      <c r="C23" s="587">
        <v>1247802.4099999999</v>
      </c>
      <c r="D23" s="587">
        <v>1225.0899999999999</v>
      </c>
      <c r="E23" s="587">
        <f t="shared" si="1"/>
        <v>1672162.55</v>
      </c>
      <c r="F23" s="695">
        <v>1570953.68</v>
      </c>
      <c r="G23" s="587">
        <v>130072.61</v>
      </c>
      <c r="H23" s="758">
        <v>-34730.050000000003</v>
      </c>
      <c r="I23" s="587">
        <v>46098.2</v>
      </c>
      <c r="J23" s="759">
        <f t="shared" si="2"/>
        <v>3384556.99</v>
      </c>
      <c r="K23" s="587">
        <f>'ตาราง 2'!I20</f>
        <v>402569.41387283237</v>
      </c>
      <c r="L23" s="587">
        <f>'ตาราง 2'!J20</f>
        <v>970496.70393063582</v>
      </c>
      <c r="M23" s="587">
        <f>'ตาราง 2'!K20</f>
        <v>1225.0850867052022</v>
      </c>
      <c r="N23" s="587">
        <f t="shared" si="3"/>
        <v>1374291.2028901733</v>
      </c>
      <c r="O23" s="587">
        <f>'ตาราง 2'!G20</f>
        <v>1793317.5375722544</v>
      </c>
      <c r="P23" s="587">
        <f>'ตาราง 2'!H20</f>
        <v>120205.97907514451</v>
      </c>
      <c r="Q23" s="587">
        <f>'ตาราง 2'!L20</f>
        <v>11172.739884393064</v>
      </c>
      <c r="R23" s="587">
        <f>'ตาราง 2'!M20</f>
        <v>165.10982658959531</v>
      </c>
      <c r="S23" s="759">
        <f t="shared" si="4"/>
        <v>3299152.5692485552</v>
      </c>
      <c r="T23" s="640">
        <f t="shared" si="0"/>
        <v>-17.813540143560012</v>
      </c>
      <c r="U23" s="640">
        <f t="shared" si="5"/>
        <v>-2.5233559666384875</v>
      </c>
      <c r="V23" s="640">
        <f t="shared" si="6"/>
        <v>-2.5233559666384875</v>
      </c>
    </row>
    <row r="24" spans="1:22" s="599" customFormat="1">
      <c r="A24" s="757" t="s">
        <v>462</v>
      </c>
      <c r="B24" s="691">
        <v>1163621.3899999999</v>
      </c>
      <c r="C24" s="587">
        <v>3431456.61</v>
      </c>
      <c r="D24" s="587">
        <v>3368.98</v>
      </c>
      <c r="E24" s="587">
        <f t="shared" si="1"/>
        <v>4598446.9800000004</v>
      </c>
      <c r="F24" s="695">
        <v>4320122.6100000003</v>
      </c>
      <c r="G24" s="587">
        <v>357699.68</v>
      </c>
      <c r="H24" s="758">
        <v>-95507.63</v>
      </c>
      <c r="I24" s="587">
        <v>126770.04</v>
      </c>
      <c r="J24" s="759">
        <f t="shared" si="2"/>
        <v>9307531.6799999978</v>
      </c>
      <c r="K24" s="587">
        <f>'ตาราง 2'!I21</f>
        <v>1107065.888150289</v>
      </c>
      <c r="L24" s="587">
        <f>'ตาราง 2'!J21</f>
        <v>2668865.9358092486</v>
      </c>
      <c r="M24" s="587">
        <f>'ตาราง 2'!K21</f>
        <v>3368.9839884393064</v>
      </c>
      <c r="N24" s="587">
        <f t="shared" si="3"/>
        <v>3779300.807947977</v>
      </c>
      <c r="O24" s="587">
        <f>'ตาราง 2'!G21</f>
        <v>4931623.2283236999</v>
      </c>
      <c r="P24" s="587">
        <f>'ตาราง 2'!H21</f>
        <v>330566.44245664735</v>
      </c>
      <c r="Q24" s="587">
        <f>'ตาราง 2'!L21</f>
        <v>30725.034682080925</v>
      </c>
      <c r="R24" s="587">
        <f>'ตาราง 2'!M21</f>
        <v>454.05202312138715</v>
      </c>
      <c r="S24" s="759">
        <f t="shared" si="4"/>
        <v>9072669.5654335264</v>
      </c>
      <c r="T24" s="640">
        <f t="shared" si="0"/>
        <v>-17.813539562698697</v>
      </c>
      <c r="U24" s="640">
        <f>+(S24-J24)/J24*100</f>
        <v>-2.5233555215411472</v>
      </c>
      <c r="V24" s="640">
        <f t="shared" si="6"/>
        <v>-2.5233555215411472</v>
      </c>
    </row>
    <row r="25" spans="1:22">
      <c r="A25" s="696" t="s">
        <v>325</v>
      </c>
      <c r="B25" s="691">
        <v>3067729.11</v>
      </c>
      <c r="C25" s="587">
        <v>9046567.4399999995</v>
      </c>
      <c r="D25" s="587">
        <v>8881.8700000000008</v>
      </c>
      <c r="E25" s="587">
        <f t="shared" si="1"/>
        <v>12123178.419999998</v>
      </c>
      <c r="F25" s="587">
        <v>11389414.16</v>
      </c>
      <c r="G25" s="587">
        <v>943026.43</v>
      </c>
      <c r="H25" s="758">
        <v>-251792.84</v>
      </c>
      <c r="I25" s="587">
        <v>334211.92</v>
      </c>
      <c r="J25" s="759">
        <f t="shared" si="2"/>
        <v>24538038.09</v>
      </c>
      <c r="K25" s="587">
        <f>'ตาราง 2'!I22</f>
        <v>3119912.9575144504</v>
      </c>
      <c r="L25" s="587">
        <f>'ตาราง 2'!J22</f>
        <v>7521349.4554624278</v>
      </c>
      <c r="M25" s="587">
        <f>'ตาราง 2'!K22</f>
        <v>9494.409421965318</v>
      </c>
      <c r="N25" s="587">
        <f t="shared" si="3"/>
        <v>10650756.822398843</v>
      </c>
      <c r="O25" s="587">
        <f>'ตาราง 2'!G22</f>
        <v>13898210.916184971</v>
      </c>
      <c r="P25" s="587">
        <f>'ตาราง 2'!H22</f>
        <v>931596.33783236984</v>
      </c>
      <c r="Q25" s="587">
        <f>'ตาราง 2'!L22</f>
        <v>86588.734104046249</v>
      </c>
      <c r="R25" s="587">
        <f>'ตาราง 2'!M22</f>
        <v>1279.6011560693637</v>
      </c>
      <c r="S25" s="759">
        <f t="shared" si="4"/>
        <v>25568432.411676299</v>
      </c>
      <c r="T25" s="640">
        <f t="shared" si="0"/>
        <v>-12.145507940162403</v>
      </c>
      <c r="U25" s="640">
        <f t="shared" si="5"/>
        <v>4.199171579639108</v>
      </c>
      <c r="V25" s="640">
        <f t="shared" si="6"/>
        <v>4.199171579639108</v>
      </c>
    </row>
    <row r="26" spans="1:22">
      <c r="A26" s="696" t="s">
        <v>326</v>
      </c>
      <c r="B26" s="691">
        <v>3702431.68</v>
      </c>
      <c r="C26" s="587">
        <v>10918271.039999999</v>
      </c>
      <c r="D26" s="587">
        <v>10719.49</v>
      </c>
      <c r="E26" s="587">
        <f t="shared" si="1"/>
        <v>14631422.209999999</v>
      </c>
      <c r="F26" s="587">
        <v>13745844.68</v>
      </c>
      <c r="G26" s="587">
        <v>1138135.3400000001</v>
      </c>
      <c r="H26" s="758">
        <v>-303887.90000000002</v>
      </c>
      <c r="I26" s="587">
        <v>403359.22</v>
      </c>
      <c r="J26" s="759">
        <f t="shared" si="2"/>
        <v>29614873.550000001</v>
      </c>
      <c r="K26" s="587">
        <f>'ตาราง 2'!I23</f>
        <v>4327621.1991329473</v>
      </c>
      <c r="L26" s="587">
        <f>'ตาราง 2'!J23</f>
        <v>10432839.567254335</v>
      </c>
      <c r="M26" s="587">
        <f>'ตาราง 2'!K23</f>
        <v>13169.664682080926</v>
      </c>
      <c r="N26" s="587">
        <f t="shared" si="3"/>
        <v>14773630.431069363</v>
      </c>
      <c r="O26" s="587">
        <f>'ตาราง 2'!G23</f>
        <v>19278163.528901733</v>
      </c>
      <c r="P26" s="587">
        <f>'ตาราง 2'!H23</f>
        <v>1292214.2750578034</v>
      </c>
      <c r="Q26" s="587">
        <f>'ตาราง 2'!L23</f>
        <v>120106.95375722543</v>
      </c>
      <c r="R26" s="587">
        <f>'ตาราง 2'!M23</f>
        <v>1774.9306358381496</v>
      </c>
      <c r="S26" s="759">
        <f t="shared" si="4"/>
        <v>35465890.119421966</v>
      </c>
      <c r="T26" s="640">
        <f t="shared" si="0"/>
        <v>0.97193710241079756</v>
      </c>
      <c r="U26" s="640">
        <f t="shared" si="5"/>
        <v>19.757020267344565</v>
      </c>
      <c r="V26" s="640">
        <f t="shared" si="6"/>
        <v>19.757020267344565</v>
      </c>
    </row>
    <row r="27" spans="1:22">
      <c r="A27" s="696" t="s">
        <v>327</v>
      </c>
      <c r="B27" s="691">
        <v>846270.1</v>
      </c>
      <c r="C27" s="587">
        <v>2495604.81</v>
      </c>
      <c r="D27" s="587">
        <v>2450.17</v>
      </c>
      <c r="E27" s="587">
        <f t="shared" si="1"/>
        <v>3344325.08</v>
      </c>
      <c r="F27" s="587">
        <v>3141907.35</v>
      </c>
      <c r="G27" s="587">
        <v>260145.22</v>
      </c>
      <c r="H27" s="758">
        <v>-69460.09</v>
      </c>
      <c r="I27" s="587">
        <v>92196.39</v>
      </c>
      <c r="J27" s="759">
        <f t="shared" si="2"/>
        <v>6769113.9499999993</v>
      </c>
      <c r="K27" s="587">
        <f>'ตาราง 2'!I24</f>
        <v>503211.76734104048</v>
      </c>
      <c r="L27" s="587">
        <f>'ตาราง 2'!J24</f>
        <v>1213120.8799132947</v>
      </c>
      <c r="M27" s="587">
        <f>'ตาราง 2'!K24</f>
        <v>1531.356358381503</v>
      </c>
      <c r="N27" s="587">
        <f t="shared" si="3"/>
        <v>1717864.0036127167</v>
      </c>
      <c r="O27" s="587">
        <f>'ตาราง 2'!G24</f>
        <v>2241646.9219653178</v>
      </c>
      <c r="P27" s="587">
        <f>'ตาราง 2'!H24</f>
        <v>150257.47384393061</v>
      </c>
      <c r="Q27" s="587">
        <f>'ตาราง 2'!L24</f>
        <v>13965.92485549133</v>
      </c>
      <c r="R27" s="587">
        <f>'ตาราง 2'!M24</f>
        <v>206.38728323699414</v>
      </c>
      <c r="S27" s="759">
        <f t="shared" si="4"/>
        <v>4123940.7115606936</v>
      </c>
      <c r="T27" s="640">
        <f t="shared" si="0"/>
        <v>-48.633462282538737</v>
      </c>
      <c r="U27" s="640">
        <f t="shared" si="5"/>
        <v>-39.077097209145165</v>
      </c>
      <c r="V27" s="640">
        <f t="shared" si="6"/>
        <v>-39.077097209145165</v>
      </c>
    </row>
    <row r="28" spans="1:22" ht="21" customHeight="1">
      <c r="A28" s="762" t="s">
        <v>270</v>
      </c>
      <c r="B28" s="763">
        <v>105783.76</v>
      </c>
      <c r="C28" s="587">
        <v>311950.59999999998</v>
      </c>
      <c r="D28" s="587">
        <v>306.27</v>
      </c>
      <c r="E28" s="587">
        <f t="shared" si="1"/>
        <v>418040.63</v>
      </c>
      <c r="F28" s="587">
        <v>392738.42</v>
      </c>
      <c r="G28" s="587">
        <v>32518.15</v>
      </c>
      <c r="H28" s="758">
        <v>-8682.51</v>
      </c>
      <c r="I28" s="587">
        <v>11524.55</v>
      </c>
      <c r="J28" s="759">
        <f t="shared" si="2"/>
        <v>846139.24000000011</v>
      </c>
      <c r="K28" s="587">
        <f>'ตาราง 2'!I25</f>
        <v>100642.35346820809</v>
      </c>
      <c r="L28" s="587">
        <f>'ตาราง 2'!J25</f>
        <v>242624.17598265896</v>
      </c>
      <c r="M28" s="587">
        <f>'ตาราง 2'!K25</f>
        <v>306.27127167630056</v>
      </c>
      <c r="N28" s="587">
        <f t="shared" si="3"/>
        <v>343572.80072254332</v>
      </c>
      <c r="O28" s="587">
        <f>'ตาราง 2'!G25</f>
        <v>448329.38439306361</v>
      </c>
      <c r="P28" s="587">
        <f>'ตาราง 2'!H25</f>
        <v>30051.494768786128</v>
      </c>
      <c r="Q28" s="587">
        <f>'ตาราง 2'!L25</f>
        <v>2793.184971098266</v>
      </c>
      <c r="R28" s="587">
        <f>'ตาราง 2'!M25</f>
        <v>41.277456647398829</v>
      </c>
      <c r="S28" s="759">
        <f t="shared" si="4"/>
        <v>824788.14231213881</v>
      </c>
      <c r="T28" s="640">
        <f t="shared" si="0"/>
        <v>-17.813538669065895</v>
      </c>
      <c r="U28" s="640">
        <f t="shared" si="5"/>
        <v>-2.5233551026260521</v>
      </c>
      <c r="V28" s="640">
        <f t="shared" si="6"/>
        <v>-2.5233551026260521</v>
      </c>
    </row>
    <row r="29" spans="1:22" ht="22.5" customHeight="1">
      <c r="A29" s="762" t="s">
        <v>272</v>
      </c>
      <c r="B29" s="764">
        <v>1057837.6200000001</v>
      </c>
      <c r="C29" s="587">
        <v>3119506.01</v>
      </c>
      <c r="D29" s="587">
        <v>3062.71</v>
      </c>
      <c r="E29" s="587">
        <f t="shared" si="1"/>
        <v>4180406.34</v>
      </c>
      <c r="F29" s="587">
        <v>3927384.19</v>
      </c>
      <c r="G29" s="587">
        <v>325181.53000000003</v>
      </c>
      <c r="H29" s="758">
        <v>-86825.12</v>
      </c>
      <c r="I29" s="587">
        <v>115245.49</v>
      </c>
      <c r="J29" s="759">
        <f t="shared" si="2"/>
        <v>8461392.4299999978</v>
      </c>
      <c r="K29" s="587">
        <f>'ตาราง 2'!I26</f>
        <v>1006423.534682081</v>
      </c>
      <c r="L29" s="587">
        <f>'ตาราง 2'!J26</f>
        <v>2426241.7598265894</v>
      </c>
      <c r="M29" s="587">
        <f>'ตาราง 2'!K26</f>
        <v>3062.712716763006</v>
      </c>
      <c r="N29" s="587">
        <f t="shared" si="3"/>
        <v>3435728.0072254334</v>
      </c>
      <c r="O29" s="587">
        <f>'ตาราง 2'!G26</f>
        <v>4483293.8439306356</v>
      </c>
      <c r="P29" s="587">
        <f>'ตาราง 2'!H26</f>
        <v>300514.94768786122</v>
      </c>
      <c r="Q29" s="587">
        <f>'ตาราง 2'!L26</f>
        <v>27931.84971098266</v>
      </c>
      <c r="R29" s="587">
        <f>'ตาราง 2'!M26</f>
        <v>412.77456647398827</v>
      </c>
      <c r="S29" s="759">
        <f t="shared" si="4"/>
        <v>8247881.4231213871</v>
      </c>
      <c r="T29" s="640">
        <f t="shared" si="0"/>
        <v>-17.813539455462756</v>
      </c>
      <c r="U29" s="640">
        <f t="shared" si="5"/>
        <v>-2.5233554482310039</v>
      </c>
      <c r="V29" s="640">
        <f t="shared" si="6"/>
        <v>-2.5233554482310039</v>
      </c>
    </row>
    <row r="30" spans="1:22">
      <c r="A30" s="765" t="s">
        <v>330</v>
      </c>
      <c r="B30" s="764">
        <v>1269405.1499999999</v>
      </c>
      <c r="C30" s="587">
        <v>3743407.22</v>
      </c>
      <c r="D30" s="587">
        <v>3675.26</v>
      </c>
      <c r="E30" s="587">
        <f t="shared" si="1"/>
        <v>5016487.63</v>
      </c>
      <c r="F30" s="587">
        <v>4712861.03</v>
      </c>
      <c r="G30" s="587">
        <v>390217.83</v>
      </c>
      <c r="H30" s="758">
        <v>-104190.14</v>
      </c>
      <c r="I30" s="587">
        <v>138294.59</v>
      </c>
      <c r="J30" s="759">
        <f t="shared" si="2"/>
        <v>10153670.939999999</v>
      </c>
      <c r="K30" s="587">
        <f>'ตาราง 2'!I27</f>
        <v>1610277.6554913295</v>
      </c>
      <c r="L30" s="587">
        <f>'ตาราง 2'!J27</f>
        <v>3881986.8157225433</v>
      </c>
      <c r="M30" s="587">
        <f>'ตาราง 2'!K27</f>
        <v>4900.3403468208089</v>
      </c>
      <c r="N30" s="587">
        <f t="shared" si="3"/>
        <v>5497164.8115606932</v>
      </c>
      <c r="O30" s="587">
        <f>'ตาราง 2'!G27</f>
        <v>7173270.1502890177</v>
      </c>
      <c r="P30" s="587">
        <f>'ตาราง 2'!H27</f>
        <v>480823.91630057804</v>
      </c>
      <c r="Q30" s="587">
        <f>'ตาราง 2'!L27</f>
        <v>44690.959537572257</v>
      </c>
      <c r="R30" s="587">
        <f>'ตาราง 2'!M27</f>
        <v>660.43930635838126</v>
      </c>
      <c r="S30" s="759">
        <f t="shared" si="4"/>
        <v>13196610.276994221</v>
      </c>
      <c r="T30" s="640">
        <f t="shared" si="0"/>
        <v>9.5819469121404648</v>
      </c>
      <c r="U30" s="640">
        <f t="shared" si="5"/>
        <v>29.968859095154226</v>
      </c>
      <c r="V30" s="640">
        <f t="shared" si="6"/>
        <v>29.968859095154226</v>
      </c>
    </row>
    <row r="31" spans="1:22">
      <c r="A31" s="765" t="s">
        <v>331</v>
      </c>
      <c r="B31" s="764">
        <v>634702.56999999995</v>
      </c>
      <c r="C31" s="587">
        <v>1871703.61</v>
      </c>
      <c r="D31" s="587">
        <v>1837.63</v>
      </c>
      <c r="E31" s="587">
        <f t="shared" si="1"/>
        <v>2508243.81</v>
      </c>
      <c r="F31" s="587">
        <v>2356430.52</v>
      </c>
      <c r="G31" s="587">
        <v>195108.92</v>
      </c>
      <c r="H31" s="758">
        <v>-52095.07</v>
      </c>
      <c r="I31" s="587">
        <v>69147.289999999994</v>
      </c>
      <c r="J31" s="759">
        <f t="shared" si="2"/>
        <v>5076835.47</v>
      </c>
      <c r="K31" s="587">
        <f>'ตาราง 2'!I28</f>
        <v>603854.12080924853</v>
      </c>
      <c r="L31" s="587">
        <f>'ตาราง 2'!J28</f>
        <v>1455745.0558959539</v>
      </c>
      <c r="M31" s="587">
        <f>'ตาราง 2'!K28</f>
        <v>1837.6276300578036</v>
      </c>
      <c r="N31" s="587">
        <f t="shared" si="3"/>
        <v>2061436.8043352603</v>
      </c>
      <c r="O31" s="587">
        <f>'ตาราง 2'!G28</f>
        <v>2689976.3063583816</v>
      </c>
      <c r="P31" s="587">
        <f>'ตาราง 2'!H28</f>
        <v>180308.96861271677</v>
      </c>
      <c r="Q31" s="587">
        <f>'ตาราง 2'!L28</f>
        <v>16759.109826589596</v>
      </c>
      <c r="R31" s="587">
        <f>'ตาราง 2'!M28</f>
        <v>247.66473988439299</v>
      </c>
      <c r="S31" s="759">
        <f t="shared" si="4"/>
        <v>4948728.8538728328</v>
      </c>
      <c r="T31" s="640">
        <f t="shared" si="0"/>
        <v>-17.813539652061962</v>
      </c>
      <c r="U31" s="640">
        <f t="shared" si="5"/>
        <v>-2.5233556786343305</v>
      </c>
      <c r="V31" s="640">
        <f t="shared" si="6"/>
        <v>-2.5233556786343305</v>
      </c>
    </row>
    <row r="32" spans="1:22" ht="24" customHeight="1">
      <c r="A32" s="765" t="s">
        <v>278</v>
      </c>
      <c r="B32" s="764">
        <v>634702.56999999995</v>
      </c>
      <c r="C32" s="587">
        <v>1871703.61</v>
      </c>
      <c r="D32" s="587">
        <v>1837.63</v>
      </c>
      <c r="E32" s="587">
        <f t="shared" si="1"/>
        <v>2508243.81</v>
      </c>
      <c r="F32" s="587">
        <v>2356430.52</v>
      </c>
      <c r="G32" s="587">
        <v>195108.92</v>
      </c>
      <c r="H32" s="758">
        <v>-52095.07</v>
      </c>
      <c r="I32" s="766">
        <v>69147.289999999994</v>
      </c>
      <c r="J32" s="759">
        <f t="shared" si="2"/>
        <v>5076835.47</v>
      </c>
      <c r="K32" s="587">
        <f>'ตาราง 2'!I29</f>
        <v>704496.47427745652</v>
      </c>
      <c r="L32" s="587">
        <f>'ตาราง 2'!J29</f>
        <v>1698369.2318786127</v>
      </c>
      <c r="M32" s="587">
        <f>'ตาราง 2'!K29</f>
        <v>2143.8989017341041</v>
      </c>
      <c r="N32" s="587">
        <f t="shared" si="3"/>
        <v>2405009.6050578034</v>
      </c>
      <c r="O32" s="587">
        <f>'ตาราง 2'!G29</f>
        <v>3138305.690751445</v>
      </c>
      <c r="P32" s="587">
        <f>'ตาราง 2'!H29</f>
        <v>210360.46338150289</v>
      </c>
      <c r="Q32" s="587">
        <f>'ตาราง 2'!L29</f>
        <v>19552.29479768786</v>
      </c>
      <c r="R32" s="587">
        <f>'ตาราง 2'!M29</f>
        <v>288.94219653179175</v>
      </c>
      <c r="S32" s="759">
        <f t="shared" si="4"/>
        <v>5773516.9961849712</v>
      </c>
      <c r="T32" s="640">
        <f t="shared" si="0"/>
        <v>-4.1157962607389669</v>
      </c>
      <c r="U32" s="640">
        <f t="shared" si="5"/>
        <v>13.722751708259938</v>
      </c>
      <c r="V32" s="640">
        <f t="shared" si="6"/>
        <v>13.722751708259938</v>
      </c>
    </row>
    <row r="33" spans="1:22">
      <c r="A33" s="765" t="s">
        <v>332</v>
      </c>
      <c r="B33" s="764">
        <v>846270.1</v>
      </c>
      <c r="C33" s="587">
        <v>2495604.81</v>
      </c>
      <c r="D33" s="587">
        <v>2450.17</v>
      </c>
      <c r="E33" s="587">
        <f t="shared" si="1"/>
        <v>3344325.08</v>
      </c>
      <c r="F33" s="695">
        <v>3141907.35</v>
      </c>
      <c r="G33" s="587">
        <v>260145.22</v>
      </c>
      <c r="H33" s="758">
        <v>-69460.09</v>
      </c>
      <c r="I33" s="587">
        <v>92196.39</v>
      </c>
      <c r="J33" s="759">
        <f t="shared" si="2"/>
        <v>6769113.9499999993</v>
      </c>
      <c r="K33" s="587">
        <f>'ตาราง 2'!I30</f>
        <v>805138.82774566475</v>
      </c>
      <c r="L33" s="587">
        <f>'ตาราง 2'!J30</f>
        <v>1940993.4078612716</v>
      </c>
      <c r="M33" s="587">
        <f>'ตาราง 2'!K30</f>
        <v>2450.1701734104045</v>
      </c>
      <c r="N33" s="587">
        <f t="shared" si="3"/>
        <v>2748582.4057803466</v>
      </c>
      <c r="O33" s="587">
        <f>'ตาราง 2'!G30</f>
        <v>3586635.0751445089</v>
      </c>
      <c r="P33" s="587">
        <f>'ตาราง 2'!H30</f>
        <v>240411.95815028902</v>
      </c>
      <c r="Q33" s="587">
        <f>'ตาราง 2'!L30</f>
        <v>22345.479768786128</v>
      </c>
      <c r="R33" s="587">
        <f>'ตาราง 2'!M30</f>
        <v>330.21965317919063</v>
      </c>
      <c r="S33" s="759">
        <f t="shared" si="4"/>
        <v>6598305.1384971105</v>
      </c>
      <c r="T33" s="640">
        <f t="shared" si="0"/>
        <v>-17.813539652061976</v>
      </c>
      <c r="U33" s="640">
        <f t="shared" si="5"/>
        <v>-2.5233555346322514</v>
      </c>
      <c r="V33" s="640">
        <f t="shared" si="6"/>
        <v>-2.5233555346322514</v>
      </c>
    </row>
    <row r="34" spans="1:22">
      <c r="A34" s="765" t="s">
        <v>282</v>
      </c>
      <c r="B34" s="764">
        <v>317351.28999999998</v>
      </c>
      <c r="C34" s="587">
        <v>935851.8</v>
      </c>
      <c r="D34" s="587">
        <v>918.81</v>
      </c>
      <c r="E34" s="587">
        <f t="shared" si="1"/>
        <v>1254121.9000000001</v>
      </c>
      <c r="F34" s="587">
        <v>1178215.26</v>
      </c>
      <c r="G34" s="587">
        <v>97554.46</v>
      </c>
      <c r="H34" s="779">
        <v>-26047.53</v>
      </c>
      <c r="I34" s="735">
        <v>34573.65</v>
      </c>
      <c r="J34" s="759">
        <f t="shared" si="2"/>
        <v>2538417.7400000002</v>
      </c>
      <c r="K34" s="587">
        <f>'ตาราง 2'!I31</f>
        <v>201284.70693641619</v>
      </c>
      <c r="L34" s="587">
        <f>'ตาราง 2'!J31</f>
        <v>485248.35196531791</v>
      </c>
      <c r="M34" s="587">
        <f>'ตาราง 2'!K31</f>
        <v>612.54254335260111</v>
      </c>
      <c r="N34" s="587">
        <f t="shared" si="3"/>
        <v>687145.60144508665</v>
      </c>
      <c r="O34" s="587">
        <f>'ตาราง 2'!G31</f>
        <v>896658.76878612721</v>
      </c>
      <c r="P34" s="587">
        <f>'ตาราง 2'!H31</f>
        <v>60102.989537572255</v>
      </c>
      <c r="Q34" s="587">
        <f>'ตาราง 2'!L31</f>
        <v>5586.3699421965321</v>
      </c>
      <c r="R34" s="587">
        <f>'ตาราง 2'!M31</f>
        <v>82.554913294797657</v>
      </c>
      <c r="S34" s="759">
        <f t="shared" si="4"/>
        <v>1649576.2846242776</v>
      </c>
      <c r="T34" s="640">
        <f t="shared" si="0"/>
        <v>-45.209026216264419</v>
      </c>
      <c r="U34" s="640">
        <f>+(S34-J34)/J34*100</f>
        <v>-35.015570580424736</v>
      </c>
      <c r="V34" s="640">
        <f t="shared" si="6"/>
        <v>-35.015570580424736</v>
      </c>
    </row>
    <row r="35" spans="1:22" ht="24.75" customHeight="1">
      <c r="A35" s="913" t="s">
        <v>333</v>
      </c>
      <c r="B35" s="914">
        <f>1163621.39+0.02</f>
        <v>1163621.4099999999</v>
      </c>
      <c r="C35" s="735">
        <v>3431456.61</v>
      </c>
      <c r="D35" s="735">
        <v>3368.98</v>
      </c>
      <c r="E35" s="735">
        <f t="shared" si="1"/>
        <v>4598447</v>
      </c>
      <c r="F35" s="735">
        <f>4320122.61-0.02</f>
        <v>4320122.5900000008</v>
      </c>
      <c r="G35" s="735">
        <f>357699.68-0.01</f>
        <v>357699.67</v>
      </c>
      <c r="H35" s="779">
        <v>-95507.64</v>
      </c>
      <c r="I35" s="735">
        <f>126770.04-0.01</f>
        <v>126770.03</v>
      </c>
      <c r="J35" s="915">
        <f t="shared" si="2"/>
        <v>9307531.6499999985</v>
      </c>
      <c r="K35" s="735">
        <f>'ตาราง 2'!I32</f>
        <v>1006423.534682081</v>
      </c>
      <c r="L35" s="735">
        <f>'ตาราง 2'!J32</f>
        <v>2426241.7598265894</v>
      </c>
      <c r="M35" s="735">
        <f>'ตาราง 2'!K32</f>
        <v>3062.712716763006</v>
      </c>
      <c r="N35" s="735">
        <f t="shared" si="3"/>
        <v>3435728.0072254334</v>
      </c>
      <c r="O35" s="735">
        <f>'ตาราง 2'!G32</f>
        <v>4483293.8439306356</v>
      </c>
      <c r="P35" s="735">
        <f>'ตาราง 2'!H32</f>
        <v>300514.94768786122</v>
      </c>
      <c r="Q35" s="735">
        <f>'ตาราง 2'!L32</f>
        <v>27931.84971098266</v>
      </c>
      <c r="R35" s="735">
        <f>'ตาราง 2'!M32</f>
        <v>412.77456647398827</v>
      </c>
      <c r="S35" s="915">
        <f t="shared" si="4"/>
        <v>8247881.4231213871</v>
      </c>
      <c r="T35" s="781">
        <f t="shared" si="0"/>
        <v>-25.285036291047103</v>
      </c>
      <c r="U35" s="781">
        <f t="shared" si="5"/>
        <v>-11.384868370322561</v>
      </c>
      <c r="V35" s="781">
        <f t="shared" si="6"/>
        <v>-11.384868370322561</v>
      </c>
    </row>
    <row r="36" spans="1:22" ht="24.75" customHeight="1" thickBot="1">
      <c r="A36" s="912" t="s">
        <v>1546</v>
      </c>
      <c r="B36" s="914">
        <v>0</v>
      </c>
      <c r="C36" s="735">
        <v>0</v>
      </c>
      <c r="D36" s="735">
        <v>0</v>
      </c>
      <c r="E36" s="735">
        <f t="shared" si="1"/>
        <v>0</v>
      </c>
      <c r="F36" s="735">
        <v>0</v>
      </c>
      <c r="G36" s="735">
        <v>0</v>
      </c>
      <c r="H36" s="779">
        <v>0</v>
      </c>
      <c r="I36" s="735">
        <v>0</v>
      </c>
      <c r="J36" s="915">
        <f t="shared" si="2"/>
        <v>0</v>
      </c>
      <c r="K36" s="735">
        <f>'ตาราง 2'!I33</f>
        <v>100642.35346820809</v>
      </c>
      <c r="L36" s="735">
        <f>'ตาราง 2'!J33</f>
        <v>242624.17598265896</v>
      </c>
      <c r="M36" s="735">
        <f>'ตาราง 2'!K33</f>
        <v>306.27127167630056</v>
      </c>
      <c r="N36" s="735">
        <f t="shared" si="3"/>
        <v>343572.80072254332</v>
      </c>
      <c r="O36" s="735">
        <f>'ตาราง 2'!G33</f>
        <v>448329.38439306361</v>
      </c>
      <c r="P36" s="735">
        <f>'ตาราง 2'!H33</f>
        <v>30051.494768786128</v>
      </c>
      <c r="Q36" s="735">
        <f>'ตาราง 2'!L33</f>
        <v>2793.184971098266</v>
      </c>
      <c r="R36" s="735">
        <f>'ตาราง 2'!M33</f>
        <v>41.277456647398829</v>
      </c>
      <c r="S36" s="915">
        <f t="shared" si="4"/>
        <v>824788.14231213881</v>
      </c>
      <c r="T36" s="781" t="e">
        <f t="shared" si="0"/>
        <v>#DIV/0!</v>
      </c>
      <c r="U36" s="781" t="e">
        <f t="shared" si="5"/>
        <v>#DIV/0!</v>
      </c>
      <c r="V36" s="781" t="e">
        <f t="shared" si="6"/>
        <v>#DIV/0!</v>
      </c>
    </row>
    <row r="37" spans="1:22" ht="22.5" customHeight="1">
      <c r="A37" s="768" t="s">
        <v>454</v>
      </c>
      <c r="B37" s="769">
        <f>SUM(B9:B36)</f>
        <v>26551724.360000003</v>
      </c>
      <c r="C37" s="769">
        <f t="shared" ref="C37:S37" si="7">SUM(C9:C36)</f>
        <v>78299600.920000002</v>
      </c>
      <c r="D37" s="769">
        <f t="shared" si="7"/>
        <v>76874.09</v>
      </c>
      <c r="E37" s="769">
        <f t="shared" si="7"/>
        <v>104928199.36999999</v>
      </c>
      <c r="F37" s="769">
        <f t="shared" si="7"/>
        <v>98577343.25</v>
      </c>
      <c r="G37" s="769">
        <f t="shared" si="7"/>
        <v>8162056.3099999996</v>
      </c>
      <c r="H37" s="769">
        <f t="shared" si="7"/>
        <v>-2179310.4000000004</v>
      </c>
      <c r="I37" s="769">
        <f t="shared" si="7"/>
        <v>2892661.83</v>
      </c>
      <c r="J37" s="769">
        <f t="shared" si="7"/>
        <v>212380950.35999998</v>
      </c>
      <c r="K37" s="769">
        <f t="shared" si="7"/>
        <v>25563157.780924853</v>
      </c>
      <c r="L37" s="769">
        <f t="shared" si="7"/>
        <v>61626540.699595384</v>
      </c>
      <c r="M37" s="769">
        <f t="shared" si="7"/>
        <v>77792.903005780347</v>
      </c>
      <c r="N37" s="769">
        <f t="shared" si="7"/>
        <v>87267491.383526027</v>
      </c>
      <c r="O37" s="769">
        <f t="shared" si="7"/>
        <v>113875663.63583815</v>
      </c>
      <c r="P37" s="769">
        <f t="shared" si="7"/>
        <v>7633079.6712716762</v>
      </c>
      <c r="Q37" s="769">
        <f t="shared" si="7"/>
        <v>709468.98265895969</v>
      </c>
      <c r="R37" s="769">
        <f t="shared" si="7"/>
        <v>10484.473988439302</v>
      </c>
      <c r="S37" s="769">
        <f t="shared" si="7"/>
        <v>209496188.14728329</v>
      </c>
      <c r="T37" s="770"/>
      <c r="U37" s="770"/>
      <c r="V37" s="770"/>
    </row>
    <row r="38" spans="1:22" ht="22.5" customHeight="1">
      <c r="A38" s="718"/>
      <c r="B38" s="719"/>
      <c r="C38" s="719"/>
      <c r="D38" s="719"/>
      <c r="E38" s="719"/>
      <c r="F38" s="719"/>
      <c r="G38" s="719"/>
      <c r="H38" s="771"/>
      <c r="I38" s="719"/>
      <c r="J38" s="719">
        <f>E37+J37</f>
        <v>317309149.72999996</v>
      </c>
      <c r="K38" s="722"/>
      <c r="L38" s="722"/>
      <c r="M38" s="722"/>
      <c r="N38" s="722"/>
      <c r="O38" s="722"/>
      <c r="P38" s="722"/>
      <c r="Q38" s="722"/>
      <c r="R38" s="722"/>
      <c r="S38" s="722">
        <f>N37+S37</f>
        <v>296763679.53080928</v>
      </c>
      <c r="T38" s="725"/>
      <c r="U38" s="725"/>
      <c r="V38" s="725"/>
    </row>
    <row r="39" spans="1:22" ht="22.5" customHeight="1">
      <c r="A39" s="718"/>
      <c r="B39" s="719"/>
      <c r="C39" s="719"/>
      <c r="D39" s="719"/>
      <c r="E39" s="719"/>
      <c r="F39" s="719"/>
      <c r="G39" s="719"/>
      <c r="H39" s="771"/>
      <c r="I39" s="719"/>
      <c r="J39" s="719"/>
      <c r="K39" s="722"/>
      <c r="L39" s="722"/>
      <c r="M39" s="722"/>
      <c r="N39" s="722"/>
      <c r="O39" s="722"/>
      <c r="P39" s="722"/>
      <c r="Q39" s="722"/>
      <c r="R39" s="722"/>
      <c r="S39" s="722"/>
      <c r="T39" s="725"/>
      <c r="U39" s="725"/>
      <c r="V39" s="725"/>
    </row>
    <row r="40" spans="1:22" ht="22.5" customHeight="1">
      <c r="A40" s="718"/>
      <c r="B40" s="719"/>
      <c r="C40" s="719"/>
      <c r="D40" s="719"/>
      <c r="E40" s="719"/>
      <c r="F40" s="719"/>
      <c r="G40" s="719"/>
      <c r="H40" s="771"/>
      <c r="I40" s="719"/>
      <c r="J40" s="719"/>
      <c r="K40" s="722"/>
      <c r="L40" s="722"/>
      <c r="M40" s="722"/>
      <c r="N40" s="722"/>
      <c r="O40" s="722"/>
      <c r="P40" s="722"/>
      <c r="Q40" s="722"/>
      <c r="R40" s="722"/>
      <c r="S40" s="722"/>
      <c r="T40" s="725"/>
      <c r="U40" s="725"/>
      <c r="V40" s="725"/>
    </row>
    <row r="41" spans="1:22" ht="22.5" customHeight="1">
      <c r="A41" s="718"/>
      <c r="B41" s="719"/>
      <c r="C41" s="719"/>
      <c r="D41" s="719"/>
      <c r="E41" s="719"/>
      <c r="F41" s="719"/>
      <c r="G41" s="719"/>
      <c r="H41" s="771"/>
      <c r="I41" s="719"/>
      <c r="J41" s="719"/>
      <c r="K41" s="722"/>
      <c r="L41" s="722"/>
      <c r="M41" s="722"/>
      <c r="N41" s="722"/>
      <c r="O41" s="722"/>
      <c r="P41" s="722"/>
      <c r="Q41" s="722"/>
      <c r="R41" s="722"/>
      <c r="S41" s="722"/>
      <c r="T41" s="725"/>
      <c r="U41" s="725"/>
      <c r="V41" s="725"/>
    </row>
    <row r="42" spans="1:22" ht="22.5" customHeight="1">
      <c r="A42" s="718"/>
      <c r="B42" s="719"/>
      <c r="C42" s="719"/>
      <c r="D42" s="719"/>
      <c r="E42" s="719"/>
      <c r="F42" s="719"/>
      <c r="G42" s="719"/>
      <c r="H42" s="771"/>
      <c r="I42" s="719"/>
      <c r="J42" s="719"/>
      <c r="K42" s="722"/>
      <c r="L42" s="722"/>
      <c r="M42" s="722"/>
      <c r="N42" s="722"/>
      <c r="O42" s="722"/>
      <c r="P42" s="722"/>
      <c r="Q42" s="722"/>
      <c r="R42" s="722"/>
      <c r="S42" s="722"/>
      <c r="T42" s="725"/>
      <c r="U42" s="725"/>
      <c r="V42" s="725"/>
    </row>
    <row r="43" spans="1:22" ht="22.5" customHeight="1">
      <c r="A43" s="718"/>
      <c r="B43" s="719"/>
      <c r="C43" s="719"/>
      <c r="D43" s="719"/>
      <c r="E43" s="719"/>
      <c r="F43" s="719"/>
      <c r="G43" s="719"/>
      <c r="H43" s="771"/>
      <c r="I43" s="719"/>
      <c r="J43" s="719"/>
      <c r="K43" s="722"/>
      <c r="L43" s="722"/>
      <c r="M43" s="722"/>
      <c r="N43" s="722"/>
      <c r="O43" s="722"/>
      <c r="P43" s="722"/>
      <c r="Q43" s="722"/>
      <c r="R43" s="722"/>
      <c r="S43" s="722"/>
      <c r="T43" s="725"/>
      <c r="U43" s="725"/>
      <c r="V43" s="725"/>
    </row>
    <row r="44" spans="1:22" ht="22.5" customHeight="1">
      <c r="A44" s="718"/>
      <c r="B44" s="719"/>
      <c r="C44" s="719"/>
      <c r="D44" s="719"/>
      <c r="E44" s="719"/>
      <c r="F44" s="719"/>
      <c r="G44" s="719"/>
      <c r="H44" s="771"/>
      <c r="I44" s="719"/>
      <c r="J44" s="719"/>
      <c r="K44" s="722"/>
      <c r="L44" s="722"/>
      <c r="M44" s="722"/>
      <c r="N44" s="722"/>
      <c r="O44" s="722"/>
      <c r="P44" s="722"/>
      <c r="Q44" s="722"/>
      <c r="R44" s="722"/>
      <c r="S44" s="722"/>
      <c r="T44" s="725"/>
      <c r="U44" s="725"/>
      <c r="V44" s="725"/>
    </row>
    <row r="45" spans="1:22" ht="22.5" customHeight="1">
      <c r="A45" s="718"/>
      <c r="B45" s="719"/>
      <c r="C45" s="719"/>
      <c r="D45" s="719"/>
      <c r="E45" s="719"/>
      <c r="F45" s="719"/>
      <c r="G45" s="719"/>
      <c r="H45" s="771"/>
      <c r="I45" s="719"/>
      <c r="J45" s="719"/>
      <c r="K45" s="722"/>
      <c r="L45" s="722"/>
      <c r="M45" s="722"/>
      <c r="N45" s="722"/>
      <c r="O45" s="722"/>
      <c r="P45" s="722"/>
      <c r="Q45" s="722"/>
      <c r="R45" s="722"/>
      <c r="S45" s="722"/>
      <c r="T45" s="725"/>
      <c r="U45" s="725"/>
      <c r="V45" s="725"/>
    </row>
    <row r="46" spans="1:22" ht="22.5" customHeight="1">
      <c r="A46" s="718"/>
      <c r="B46" s="719"/>
      <c r="C46" s="719"/>
      <c r="D46" s="719"/>
      <c r="E46" s="719"/>
      <c r="F46" s="719"/>
      <c r="G46" s="719"/>
      <c r="H46" s="771"/>
      <c r="I46" s="719"/>
      <c r="J46" s="719"/>
      <c r="K46" s="722"/>
      <c r="L46" s="722"/>
      <c r="M46" s="722"/>
      <c r="N46" s="722"/>
      <c r="O46" s="722"/>
      <c r="P46" s="722"/>
      <c r="Q46" s="722"/>
      <c r="R46" s="722"/>
      <c r="S46" s="722"/>
      <c r="T46" s="725"/>
      <c r="U46" s="725"/>
      <c r="V46" s="725"/>
    </row>
    <row r="47" spans="1:22" ht="24" customHeight="1">
      <c r="A47" s="991" t="s">
        <v>213</v>
      </c>
      <c r="B47" s="1059" t="s">
        <v>1525</v>
      </c>
      <c r="C47" s="1060"/>
      <c r="D47" s="1060"/>
      <c r="E47" s="1060"/>
      <c r="F47" s="1060"/>
      <c r="G47" s="1060"/>
      <c r="H47" s="1060"/>
      <c r="I47" s="1060"/>
      <c r="J47" s="1060"/>
      <c r="K47" s="1059" t="s">
        <v>1561</v>
      </c>
      <c r="L47" s="1060"/>
      <c r="M47" s="1060"/>
      <c r="N47" s="1060"/>
      <c r="O47" s="1060"/>
      <c r="P47" s="1060"/>
      <c r="Q47" s="1060"/>
      <c r="R47" s="1060"/>
      <c r="S47" s="1060"/>
      <c r="T47" s="679" t="s">
        <v>425</v>
      </c>
      <c r="U47" s="679" t="s">
        <v>425</v>
      </c>
      <c r="V47" s="679" t="s">
        <v>351</v>
      </c>
    </row>
    <row r="48" spans="1:22">
      <c r="A48" s="1058"/>
      <c r="B48" s="1054" t="s">
        <v>442</v>
      </c>
      <c r="C48" s="1054"/>
      <c r="D48" s="1054"/>
      <c r="E48" s="1054"/>
      <c r="F48" s="1044" t="s">
        <v>443</v>
      </c>
      <c r="G48" s="1000"/>
      <c r="H48" s="1000"/>
      <c r="I48" s="1000"/>
      <c r="J48" s="991" t="s">
        <v>1</v>
      </c>
      <c r="K48" s="1054" t="s">
        <v>442</v>
      </c>
      <c r="L48" s="1054"/>
      <c r="M48" s="1054"/>
      <c r="N48" s="1054"/>
      <c r="O48" s="1044" t="s">
        <v>443</v>
      </c>
      <c r="P48" s="1000"/>
      <c r="Q48" s="1000"/>
      <c r="R48" s="1000"/>
      <c r="S48" s="991" t="s">
        <v>1</v>
      </c>
      <c r="T48" s="680" t="s">
        <v>444</v>
      </c>
      <c r="U48" s="680" t="s">
        <v>445</v>
      </c>
      <c r="V48" s="680" t="s">
        <v>446</v>
      </c>
    </row>
    <row r="49" spans="1:22" ht="24" customHeight="1">
      <c r="A49" s="1058"/>
      <c r="B49" s="991" t="s">
        <v>17</v>
      </c>
      <c r="C49" s="991" t="s">
        <v>457</v>
      </c>
      <c r="D49" s="991" t="s">
        <v>457</v>
      </c>
      <c r="E49" s="991" t="s">
        <v>1</v>
      </c>
      <c r="F49" s="991" t="s">
        <v>458</v>
      </c>
      <c r="G49" s="991" t="s">
        <v>15</v>
      </c>
      <c r="H49" s="1068" t="s">
        <v>459</v>
      </c>
      <c r="I49" s="1059" t="s">
        <v>463</v>
      </c>
      <c r="J49" s="1058"/>
      <c r="K49" s="991" t="s">
        <v>17</v>
      </c>
      <c r="L49" s="991" t="s">
        <v>457</v>
      </c>
      <c r="M49" s="991" t="s">
        <v>457</v>
      </c>
      <c r="N49" s="991" t="s">
        <v>1</v>
      </c>
      <c r="O49" s="991" t="s">
        <v>458</v>
      </c>
      <c r="P49" s="991" t="s">
        <v>15</v>
      </c>
      <c r="Q49" s="991" t="s">
        <v>459</v>
      </c>
      <c r="R49" s="1059" t="s">
        <v>460</v>
      </c>
      <c r="S49" s="1058"/>
      <c r="T49" s="680" t="s">
        <v>449</v>
      </c>
      <c r="U49" s="680" t="s">
        <v>446</v>
      </c>
      <c r="V49" s="680" t="s">
        <v>450</v>
      </c>
    </row>
    <row r="50" spans="1:22" ht="35.25" customHeight="1">
      <c r="A50" s="1041"/>
      <c r="B50" s="1041"/>
      <c r="C50" s="1041"/>
      <c r="D50" s="1041"/>
      <c r="E50" s="1041"/>
      <c r="F50" s="1041"/>
      <c r="G50" s="1041"/>
      <c r="H50" s="1069"/>
      <c r="I50" s="1067"/>
      <c r="J50" s="1041"/>
      <c r="K50" s="1041"/>
      <c r="L50" s="1041"/>
      <c r="M50" s="1041"/>
      <c r="N50" s="1041"/>
      <c r="O50" s="1041"/>
      <c r="P50" s="1041"/>
      <c r="Q50" s="1041"/>
      <c r="R50" s="1067"/>
      <c r="S50" s="1041"/>
      <c r="T50" s="681"/>
      <c r="U50" s="682" t="s">
        <v>451</v>
      </c>
      <c r="V50" s="681"/>
    </row>
    <row r="51" spans="1:22">
      <c r="A51" s="772" t="s">
        <v>288</v>
      </c>
      <c r="B51" s="684"/>
      <c r="C51" s="577"/>
      <c r="D51" s="577"/>
      <c r="E51" s="577"/>
      <c r="F51" s="577"/>
      <c r="G51" s="577"/>
      <c r="H51" s="755"/>
      <c r="I51" s="577"/>
      <c r="J51" s="773"/>
      <c r="K51" s="577"/>
      <c r="L51" s="577"/>
      <c r="M51" s="577"/>
      <c r="N51" s="577"/>
      <c r="O51" s="577"/>
      <c r="P51" s="577"/>
      <c r="Q51" s="577"/>
      <c r="R51" s="577"/>
      <c r="S51" s="773"/>
      <c r="T51" s="629"/>
      <c r="U51" s="629"/>
      <c r="V51" s="629"/>
    </row>
    <row r="52" spans="1:22">
      <c r="A52" s="757" t="s">
        <v>334</v>
      </c>
      <c r="B52" s="691">
        <v>105783.76</v>
      </c>
      <c r="C52" s="587">
        <v>311950.59999999998</v>
      </c>
      <c r="D52" s="587">
        <v>306.27</v>
      </c>
      <c r="E52" s="587">
        <f>SUM(B52:D52)</f>
        <v>418040.63</v>
      </c>
      <c r="F52" s="587">
        <v>392738.42</v>
      </c>
      <c r="G52" s="587">
        <v>32518.15</v>
      </c>
      <c r="H52" s="758">
        <v>-8682.51</v>
      </c>
      <c r="I52" s="587">
        <v>11524.55</v>
      </c>
      <c r="J52" s="759">
        <f>E52+F52+G52+H52+I52</f>
        <v>846139.24000000011</v>
      </c>
      <c r="K52" s="587">
        <f>'ตาราง 2'!I43</f>
        <v>100642.35346820809</v>
      </c>
      <c r="L52" s="587">
        <f>'ตาราง 2'!J43</f>
        <v>242624.17598265896</v>
      </c>
      <c r="M52" s="587">
        <f>'ตาราง 2'!K43</f>
        <v>306.27127167630056</v>
      </c>
      <c r="N52" s="587">
        <f>SUM(K52:M52)</f>
        <v>343572.80072254332</v>
      </c>
      <c r="O52" s="587">
        <f>'ตาราง 2'!G43</f>
        <v>448329.38439306361</v>
      </c>
      <c r="P52" s="587">
        <f>'ตาราง 2'!H43</f>
        <v>30051.494768786128</v>
      </c>
      <c r="Q52" s="587">
        <f>'ตาราง 2'!L43</f>
        <v>2793.184971098266</v>
      </c>
      <c r="R52" s="587">
        <f>'ตาราง 2'!M43</f>
        <v>41.277456647398829</v>
      </c>
      <c r="S52" s="759">
        <f>N52+O52+P52+Q52+R52</f>
        <v>824788.14231213881</v>
      </c>
      <c r="T52" s="640">
        <f t="shared" ref="T52:T73" si="8">+(N52-E52)/E52*100</f>
        <v>-17.813538669065895</v>
      </c>
      <c r="U52" s="640">
        <f>+(S52-J52)/J52*100</f>
        <v>-2.5233551026260521</v>
      </c>
      <c r="V52" s="640">
        <f>+(S52-J52)/J52*100</f>
        <v>-2.5233551026260521</v>
      </c>
    </row>
    <row r="53" spans="1:22">
      <c r="A53" s="757" t="s">
        <v>335</v>
      </c>
      <c r="B53" s="691">
        <v>105783.76</v>
      </c>
      <c r="C53" s="587">
        <v>311950.59999999998</v>
      </c>
      <c r="D53" s="587">
        <v>306.27</v>
      </c>
      <c r="E53" s="587">
        <f t="shared" ref="E53:E73" si="9">SUM(B53:D53)</f>
        <v>418040.63</v>
      </c>
      <c r="F53" s="587">
        <v>392738.42</v>
      </c>
      <c r="G53" s="587">
        <v>32518.15</v>
      </c>
      <c r="H53" s="758">
        <v>-8682.51</v>
      </c>
      <c r="I53" s="587">
        <v>11524.55</v>
      </c>
      <c r="J53" s="759">
        <f t="shared" ref="J53:J73" si="10">E53+F53+G53+H53+I53</f>
        <v>846139.24000000011</v>
      </c>
      <c r="K53" s="587">
        <f>'ตาราง 2'!I44</f>
        <v>100642.35346820809</v>
      </c>
      <c r="L53" s="587">
        <f>'ตาราง 2'!J44</f>
        <v>242624.17598265896</v>
      </c>
      <c r="M53" s="587">
        <f>'ตาราง 2'!K44</f>
        <v>306.27127167630056</v>
      </c>
      <c r="N53" s="587">
        <f t="shared" ref="N53:N73" si="11">SUM(K53:M53)</f>
        <v>343572.80072254332</v>
      </c>
      <c r="O53" s="587">
        <f>'ตาราง 2'!G44</f>
        <v>448329.38439306361</v>
      </c>
      <c r="P53" s="587">
        <f>'ตาราง 2'!H44</f>
        <v>30051.494768786128</v>
      </c>
      <c r="Q53" s="587">
        <f>'ตาราง 2'!L44</f>
        <v>2793.184971098266</v>
      </c>
      <c r="R53" s="587">
        <f>'ตาราง 2'!M44</f>
        <v>41.277456647398829</v>
      </c>
      <c r="S53" s="759">
        <f t="shared" ref="S53:S73" si="12">N53+O53+P53+Q53+R53</f>
        <v>824788.14231213881</v>
      </c>
      <c r="T53" s="640">
        <f t="shared" si="8"/>
        <v>-17.813538669065895</v>
      </c>
      <c r="U53" s="640">
        <f t="shared" ref="U53:U73" si="13">+(S53-J53)/J53*100</f>
        <v>-2.5233551026260521</v>
      </c>
      <c r="V53" s="640">
        <f t="shared" ref="V53:V73" si="14">+(S53-J53)/J53*100</f>
        <v>-2.5233551026260521</v>
      </c>
    </row>
    <row r="54" spans="1:22">
      <c r="A54" s="774" t="s">
        <v>336</v>
      </c>
      <c r="B54" s="691">
        <v>634702.56999999995</v>
      </c>
      <c r="C54" s="587">
        <v>1871703.61</v>
      </c>
      <c r="D54" s="587">
        <v>1837.63</v>
      </c>
      <c r="E54" s="587">
        <f t="shared" si="9"/>
        <v>2508243.81</v>
      </c>
      <c r="F54" s="587">
        <v>2356430.52</v>
      </c>
      <c r="G54" s="758">
        <v>195108.92</v>
      </c>
      <c r="H54" s="587">
        <v>-52095.07</v>
      </c>
      <c r="I54" s="587">
        <v>69147.289999999994</v>
      </c>
      <c r="J54" s="759">
        <f t="shared" si="10"/>
        <v>5076835.47</v>
      </c>
      <c r="K54" s="587">
        <f>'ตาราง 2'!I45</f>
        <v>603854.12080924853</v>
      </c>
      <c r="L54" s="587">
        <f>'ตาราง 2'!J45</f>
        <v>1455745.0558959539</v>
      </c>
      <c r="M54" s="587">
        <f>'ตาราง 2'!K45</f>
        <v>1837.6276300578036</v>
      </c>
      <c r="N54" s="587">
        <f t="shared" si="11"/>
        <v>2061436.8043352603</v>
      </c>
      <c r="O54" s="587">
        <f>'ตาราง 2'!G45</f>
        <v>2689976.3063583816</v>
      </c>
      <c r="P54" s="587">
        <f>'ตาราง 2'!H45</f>
        <v>180308.96861271677</v>
      </c>
      <c r="Q54" s="587">
        <f>'ตาราง 2'!L45</f>
        <v>16759.109826589596</v>
      </c>
      <c r="R54" s="587">
        <f>'ตาราง 2'!M45</f>
        <v>247.66473988439299</v>
      </c>
      <c r="S54" s="759">
        <f t="shared" si="12"/>
        <v>4948728.8538728328</v>
      </c>
      <c r="T54" s="640">
        <f t="shared" si="8"/>
        <v>-17.813539652061962</v>
      </c>
      <c r="U54" s="640">
        <f t="shared" si="13"/>
        <v>-2.5233556786343305</v>
      </c>
      <c r="V54" s="640">
        <f t="shared" si="14"/>
        <v>-2.5233556786343305</v>
      </c>
    </row>
    <row r="55" spans="1:22">
      <c r="A55" s="757" t="s">
        <v>337</v>
      </c>
      <c r="B55" s="691">
        <v>423135.05</v>
      </c>
      <c r="C55" s="587">
        <v>1247802.4099999999</v>
      </c>
      <c r="D55" s="587">
        <v>1225.0899999999999</v>
      </c>
      <c r="E55" s="587">
        <f t="shared" si="9"/>
        <v>1672162.55</v>
      </c>
      <c r="F55" s="587">
        <v>1570953.68</v>
      </c>
      <c r="G55" s="587">
        <v>130072.61</v>
      </c>
      <c r="H55" s="758">
        <v>-34730.050000000003</v>
      </c>
      <c r="I55" s="587">
        <v>46098.2</v>
      </c>
      <c r="J55" s="759">
        <f t="shared" si="10"/>
        <v>3384556.99</v>
      </c>
      <c r="K55" s="587">
        <f>'ตาราง 2'!I46</f>
        <v>301927.06040462427</v>
      </c>
      <c r="L55" s="587">
        <f>'ตาราง 2'!J46</f>
        <v>727872.52794797695</v>
      </c>
      <c r="M55" s="587">
        <f>'ตาราง 2'!K46</f>
        <v>918.81381502890179</v>
      </c>
      <c r="N55" s="587">
        <f t="shared" si="11"/>
        <v>1030718.4021676301</v>
      </c>
      <c r="O55" s="587">
        <f>'ตาราง 2'!G46</f>
        <v>1344988.1531791908</v>
      </c>
      <c r="P55" s="587">
        <f>'ตาราง 2'!H46</f>
        <v>90154.484306358383</v>
      </c>
      <c r="Q55" s="587">
        <f>'ตาราง 2'!L46</f>
        <v>8379.5549132947981</v>
      </c>
      <c r="R55" s="587">
        <f>'ตาราง 2'!M46</f>
        <v>123.83236994219649</v>
      </c>
      <c r="S55" s="759">
        <f t="shared" si="12"/>
        <v>2474364.4269364164</v>
      </c>
      <c r="T55" s="640">
        <f t="shared" si="8"/>
        <v>-38.360155107669996</v>
      </c>
      <c r="U55" s="640">
        <f t="shared" si="13"/>
        <v>-26.892516974978864</v>
      </c>
      <c r="V55" s="640">
        <f t="shared" si="14"/>
        <v>-26.892516974978864</v>
      </c>
    </row>
    <row r="56" spans="1:22">
      <c r="A56" s="757" t="s">
        <v>338</v>
      </c>
      <c r="B56" s="691">
        <v>740486.34</v>
      </c>
      <c r="C56" s="587">
        <v>2183654.21</v>
      </c>
      <c r="D56" s="587">
        <v>2143.9</v>
      </c>
      <c r="E56" s="587">
        <f t="shared" si="9"/>
        <v>2926284.4499999997</v>
      </c>
      <c r="F56" s="587">
        <v>2749168.94</v>
      </c>
      <c r="G56" s="587">
        <v>227627.07</v>
      </c>
      <c r="H56" s="758">
        <v>-60777.58</v>
      </c>
      <c r="I56" s="587">
        <v>80671.839999999997</v>
      </c>
      <c r="J56" s="759">
        <f t="shared" si="10"/>
        <v>5922974.7199999997</v>
      </c>
      <c r="K56" s="587">
        <f>'ตาราง 2'!I47</f>
        <v>603854.12080924853</v>
      </c>
      <c r="L56" s="587">
        <f>'ตาราง 2'!J47</f>
        <v>1455745.0558959539</v>
      </c>
      <c r="M56" s="587">
        <f>'ตาราง 2'!K47</f>
        <v>1837.6276300578036</v>
      </c>
      <c r="N56" s="587">
        <f t="shared" si="11"/>
        <v>2061436.8043352603</v>
      </c>
      <c r="O56" s="587">
        <f>'ตาราง 2'!G47</f>
        <v>2689976.3063583816</v>
      </c>
      <c r="P56" s="587">
        <f>'ตาราง 2'!H47</f>
        <v>180308.96861271677</v>
      </c>
      <c r="Q56" s="587">
        <f>'ตาราง 2'!L47</f>
        <v>16759.109826589596</v>
      </c>
      <c r="R56" s="587">
        <f>'ตาราง 2'!M47</f>
        <v>247.66473988439299</v>
      </c>
      <c r="S56" s="759">
        <f t="shared" si="12"/>
        <v>4948728.8538728328</v>
      </c>
      <c r="T56" s="640">
        <f t="shared" si="8"/>
        <v>-29.554462679277112</v>
      </c>
      <c r="U56" s="640">
        <f t="shared" si="13"/>
        <v>-16.448590652218197</v>
      </c>
      <c r="V56" s="640">
        <f t="shared" si="14"/>
        <v>-16.448590652218197</v>
      </c>
    </row>
    <row r="57" spans="1:22">
      <c r="A57" s="757" t="s">
        <v>496</v>
      </c>
      <c r="B57" s="691">
        <v>952053.86</v>
      </c>
      <c r="C57" s="587">
        <v>2807555.41</v>
      </c>
      <c r="D57" s="587">
        <v>2756.44</v>
      </c>
      <c r="E57" s="587">
        <f t="shared" si="9"/>
        <v>3762365.71</v>
      </c>
      <c r="F57" s="587">
        <v>3534645.77</v>
      </c>
      <c r="G57" s="758">
        <v>292663.37</v>
      </c>
      <c r="H57" s="587">
        <v>-78142.600000000006</v>
      </c>
      <c r="I57" s="587">
        <v>103720.94</v>
      </c>
      <c r="J57" s="759">
        <f t="shared" si="10"/>
        <v>7615253.1900000013</v>
      </c>
      <c r="K57" s="587">
        <f>'ตาราง 2'!I48</f>
        <v>905781.18121387274</v>
      </c>
      <c r="L57" s="587">
        <f>'ตาราง 2'!J48</f>
        <v>2183617.5838439306</v>
      </c>
      <c r="M57" s="587">
        <f>'ตาราง 2'!K48</f>
        <v>2756.4414450867052</v>
      </c>
      <c r="N57" s="587">
        <f t="shared" si="11"/>
        <v>3092155.2065028897</v>
      </c>
      <c r="O57" s="587">
        <f>'ตาราง 2'!G48</f>
        <v>4034964.4595375722</v>
      </c>
      <c r="P57" s="587">
        <f>'ตาราง 2'!H48</f>
        <v>270463.45291907515</v>
      </c>
      <c r="Q57" s="587">
        <f>'ตาราง 2'!L48</f>
        <v>25138.664739884392</v>
      </c>
      <c r="R57" s="587">
        <f>'ตาราง 2'!M48</f>
        <v>371.49710982658945</v>
      </c>
      <c r="S57" s="759">
        <f t="shared" si="12"/>
        <v>7423093.2808092479</v>
      </c>
      <c r="T57" s="640">
        <f t="shared" si="8"/>
        <v>-17.813539542840193</v>
      </c>
      <c r="U57" s="640">
        <f t="shared" si="13"/>
        <v>-2.5233554866316066</v>
      </c>
      <c r="V57" s="640">
        <f t="shared" si="14"/>
        <v>-2.5233554866316066</v>
      </c>
    </row>
    <row r="58" spans="1:22">
      <c r="A58" s="757" t="s">
        <v>499</v>
      </c>
      <c r="B58" s="691">
        <v>846270.1</v>
      </c>
      <c r="C58" s="587">
        <v>2495604.81</v>
      </c>
      <c r="D58" s="587">
        <v>2450.17</v>
      </c>
      <c r="E58" s="587">
        <f t="shared" si="9"/>
        <v>3344325.08</v>
      </c>
      <c r="F58" s="587">
        <v>3141907.35</v>
      </c>
      <c r="G58" s="587">
        <v>260145.22</v>
      </c>
      <c r="H58" s="758">
        <v>-69460.09</v>
      </c>
      <c r="I58" s="587">
        <v>92196.39</v>
      </c>
      <c r="J58" s="759">
        <f t="shared" si="10"/>
        <v>6769113.9499999993</v>
      </c>
      <c r="K58" s="587">
        <f>'ตาราง 2'!I49</f>
        <v>704496.47427745652</v>
      </c>
      <c r="L58" s="587">
        <f>'ตาราง 2'!J49</f>
        <v>1698369.2318786127</v>
      </c>
      <c r="M58" s="587">
        <f>'ตาราง 2'!K49</f>
        <v>2143.8989017341041</v>
      </c>
      <c r="N58" s="587">
        <f t="shared" si="11"/>
        <v>2405009.6050578034</v>
      </c>
      <c r="O58" s="587">
        <f>'ตาราง 2'!G49</f>
        <v>3138305.690751445</v>
      </c>
      <c r="P58" s="587">
        <f>'ตาราง 2'!H49</f>
        <v>210360.46338150289</v>
      </c>
      <c r="Q58" s="587">
        <f>'ตาราง 2'!L49</f>
        <v>19552.29479768786</v>
      </c>
      <c r="R58" s="587">
        <f>'ตาราง 2'!M49</f>
        <v>288.94219653179175</v>
      </c>
      <c r="S58" s="759">
        <f t="shared" si="12"/>
        <v>5773516.9961849712</v>
      </c>
      <c r="T58" s="640">
        <f t="shared" si="8"/>
        <v>-28.086847195554228</v>
      </c>
      <c r="U58" s="640">
        <f t="shared" si="13"/>
        <v>-14.707936092803228</v>
      </c>
      <c r="V58" s="640">
        <f t="shared" si="14"/>
        <v>-14.707936092803228</v>
      </c>
    </row>
    <row r="59" spans="1:22">
      <c r="A59" s="757" t="s">
        <v>527</v>
      </c>
      <c r="B59" s="691">
        <v>317351.28999999998</v>
      </c>
      <c r="C59" s="587">
        <v>935851.8</v>
      </c>
      <c r="D59" s="587">
        <v>918.81</v>
      </c>
      <c r="E59" s="587">
        <f t="shared" si="9"/>
        <v>1254121.9000000001</v>
      </c>
      <c r="F59" s="587">
        <v>1178215.26</v>
      </c>
      <c r="G59" s="587">
        <v>97554.46</v>
      </c>
      <c r="H59" s="758">
        <v>-26047.53</v>
      </c>
      <c r="I59" s="587">
        <v>34573.65</v>
      </c>
      <c r="J59" s="759">
        <f t="shared" si="10"/>
        <v>2538417.7400000002</v>
      </c>
      <c r="K59" s="587">
        <f>'ตาราง 2'!I50</f>
        <v>301927.06040462427</v>
      </c>
      <c r="L59" s="587">
        <f>'ตาราง 2'!J50</f>
        <v>727872.52794797695</v>
      </c>
      <c r="M59" s="587">
        <f>'ตาราง 2'!K50</f>
        <v>918.81381502890179</v>
      </c>
      <c r="N59" s="587">
        <f t="shared" si="11"/>
        <v>1030718.4021676301</v>
      </c>
      <c r="O59" s="587">
        <f>'ตาราง 2'!G50</f>
        <v>1344988.1531791908</v>
      </c>
      <c r="P59" s="587">
        <f>'ตาราง 2'!H50</f>
        <v>90154.484306358383</v>
      </c>
      <c r="Q59" s="587">
        <f>'ตาราง 2'!L50</f>
        <v>8379.5549132947981</v>
      </c>
      <c r="R59" s="587">
        <f>'ตาราง 2'!M50</f>
        <v>123.83236994219649</v>
      </c>
      <c r="S59" s="759">
        <f t="shared" si="12"/>
        <v>2474364.4269364164</v>
      </c>
      <c r="T59" s="640">
        <f t="shared" si="8"/>
        <v>-17.813539324396611</v>
      </c>
      <c r="U59" s="640">
        <f t="shared" si="13"/>
        <v>-2.5233558706371078</v>
      </c>
      <c r="V59" s="640">
        <f t="shared" si="14"/>
        <v>-2.5233558706371078</v>
      </c>
    </row>
    <row r="60" spans="1:22">
      <c r="A60" s="95" t="s">
        <v>1537</v>
      </c>
      <c r="B60" s="691">
        <v>740486.34</v>
      </c>
      <c r="C60" s="587">
        <v>2183654.21</v>
      </c>
      <c r="D60" s="587">
        <v>2143.9</v>
      </c>
      <c r="E60" s="587">
        <f t="shared" si="9"/>
        <v>2926284.4499999997</v>
      </c>
      <c r="F60" s="587">
        <v>2749168.94</v>
      </c>
      <c r="G60" s="587">
        <v>227627.07</v>
      </c>
      <c r="H60" s="758">
        <v>-60777.58</v>
      </c>
      <c r="I60" s="587">
        <v>80671.839999999997</v>
      </c>
      <c r="J60" s="759">
        <f t="shared" si="10"/>
        <v>5922974.7199999997</v>
      </c>
      <c r="K60" s="587">
        <f>'ตาราง 2'!I51</f>
        <v>704496.47427745652</v>
      </c>
      <c r="L60" s="587">
        <f>'ตาราง 2'!J51</f>
        <v>1698369.2318786127</v>
      </c>
      <c r="M60" s="587">
        <f>'ตาราง 2'!K51</f>
        <v>2143.8989017341041</v>
      </c>
      <c r="N60" s="587">
        <f t="shared" si="11"/>
        <v>2405009.6050578034</v>
      </c>
      <c r="O60" s="587">
        <f>'ตาราง 2'!G51</f>
        <v>3138305.690751445</v>
      </c>
      <c r="P60" s="587">
        <f>'ตาราง 2'!H51</f>
        <v>210360.46338150289</v>
      </c>
      <c r="Q60" s="587">
        <f>'ตาราง 2'!L51</f>
        <v>19552.29479768786</v>
      </c>
      <c r="R60" s="587">
        <f>'ตาราง 2'!M51</f>
        <v>288.94219653179175</v>
      </c>
      <c r="S60" s="759">
        <f t="shared" si="12"/>
        <v>5773516.9961849712</v>
      </c>
      <c r="T60" s="640">
        <f t="shared" si="8"/>
        <v>-17.813539792489973</v>
      </c>
      <c r="U60" s="640">
        <f t="shared" si="13"/>
        <v>-2.523355760921238</v>
      </c>
      <c r="V60" s="640">
        <f t="shared" si="14"/>
        <v>-2.523355760921238</v>
      </c>
    </row>
    <row r="61" spans="1:22">
      <c r="A61" s="757" t="s">
        <v>498</v>
      </c>
      <c r="B61" s="691">
        <v>105783.76</v>
      </c>
      <c r="C61" s="587">
        <v>311950.59999999998</v>
      </c>
      <c r="D61" s="587">
        <v>306.27</v>
      </c>
      <c r="E61" s="587">
        <f t="shared" si="9"/>
        <v>418040.63</v>
      </c>
      <c r="F61" s="587">
        <v>392738.42</v>
      </c>
      <c r="G61" s="587">
        <v>32518.15</v>
      </c>
      <c r="H61" s="758">
        <v>-8682.51</v>
      </c>
      <c r="I61" s="587">
        <v>11524.55</v>
      </c>
      <c r="J61" s="759">
        <f t="shared" si="10"/>
        <v>846139.24000000011</v>
      </c>
      <c r="K61" s="587">
        <f>'ตาราง 2'!I52</f>
        <v>100642.35346820809</v>
      </c>
      <c r="L61" s="587">
        <f>'ตาราง 2'!J52</f>
        <v>242624.17598265896</v>
      </c>
      <c r="M61" s="587">
        <f>'ตาราง 2'!K52</f>
        <v>306.27127167630056</v>
      </c>
      <c r="N61" s="587">
        <f t="shared" si="11"/>
        <v>343572.80072254332</v>
      </c>
      <c r="O61" s="587">
        <f>'ตาราง 2'!G52</f>
        <v>448329.38439306361</v>
      </c>
      <c r="P61" s="587">
        <f>'ตาราง 2'!H52</f>
        <v>30051.494768786128</v>
      </c>
      <c r="Q61" s="587">
        <f>'ตาราง 2'!L52</f>
        <v>2793.184971098266</v>
      </c>
      <c r="R61" s="587">
        <f>'ตาราง 2'!M52</f>
        <v>41.277456647398829</v>
      </c>
      <c r="S61" s="759">
        <f t="shared" si="12"/>
        <v>824788.14231213881</v>
      </c>
      <c r="T61" s="640">
        <f t="shared" si="8"/>
        <v>-17.813538669065895</v>
      </c>
      <c r="U61" s="640">
        <f t="shared" si="13"/>
        <v>-2.5233551026260521</v>
      </c>
      <c r="V61" s="640">
        <f t="shared" si="14"/>
        <v>-2.5233551026260521</v>
      </c>
    </row>
    <row r="62" spans="1:22">
      <c r="A62" s="760" t="s">
        <v>293</v>
      </c>
      <c r="B62" s="691">
        <v>211567.52</v>
      </c>
      <c r="C62" s="587">
        <v>623901.19999999995</v>
      </c>
      <c r="D62" s="587">
        <v>612.54</v>
      </c>
      <c r="E62" s="587">
        <f t="shared" si="9"/>
        <v>836081.26</v>
      </c>
      <c r="F62" s="587">
        <v>785476.84</v>
      </c>
      <c r="G62" s="587">
        <v>65036.31</v>
      </c>
      <c r="H62" s="758">
        <v>-17365.02</v>
      </c>
      <c r="I62" s="587">
        <v>23049.1</v>
      </c>
      <c r="J62" s="759">
        <f t="shared" si="10"/>
        <v>1692278.4900000002</v>
      </c>
      <c r="K62" s="587">
        <f>'ตาราง 2'!I53</f>
        <v>201284.70693641619</v>
      </c>
      <c r="L62" s="587">
        <f>'ตาราง 2'!J53</f>
        <v>485248.35196531791</v>
      </c>
      <c r="M62" s="587">
        <f>'ตาราง 2'!K53</f>
        <v>612.54254335260111</v>
      </c>
      <c r="N62" s="587">
        <f t="shared" si="11"/>
        <v>687145.60144508665</v>
      </c>
      <c r="O62" s="587">
        <f>'ตาราง 2'!G53</f>
        <v>896658.76878612721</v>
      </c>
      <c r="P62" s="587">
        <f>'ตาราง 2'!H53</f>
        <v>60102.989537572255</v>
      </c>
      <c r="Q62" s="587">
        <f>'ตาราง 2'!L53</f>
        <v>5586.3699421965321</v>
      </c>
      <c r="R62" s="587">
        <f>'ตาราง 2'!M53</f>
        <v>82.554913294797657</v>
      </c>
      <c r="S62" s="759">
        <f t="shared" si="12"/>
        <v>1649576.2846242776</v>
      </c>
      <c r="T62" s="640">
        <f t="shared" si="8"/>
        <v>-17.813538669065895</v>
      </c>
      <c r="U62" s="640">
        <f t="shared" si="13"/>
        <v>-2.5233556786343483</v>
      </c>
      <c r="V62" s="640">
        <f t="shared" si="14"/>
        <v>-2.5233556786343483</v>
      </c>
    </row>
    <row r="63" spans="1:22">
      <c r="A63" s="761" t="s">
        <v>294</v>
      </c>
      <c r="B63" s="691">
        <v>211567.52</v>
      </c>
      <c r="C63" s="587">
        <v>623901.19999999995</v>
      </c>
      <c r="D63" s="587">
        <v>612.54</v>
      </c>
      <c r="E63" s="587">
        <f t="shared" si="9"/>
        <v>836081.26</v>
      </c>
      <c r="F63" s="587">
        <v>785476.84</v>
      </c>
      <c r="G63" s="587">
        <v>65036.31</v>
      </c>
      <c r="H63" s="758">
        <v>-17365.02</v>
      </c>
      <c r="I63" s="587">
        <v>23049.1</v>
      </c>
      <c r="J63" s="759">
        <f t="shared" si="10"/>
        <v>1692278.4900000002</v>
      </c>
      <c r="K63" s="587">
        <f>'ตาราง 2'!I54</f>
        <v>201284.70693641619</v>
      </c>
      <c r="L63" s="587">
        <f>'ตาราง 2'!J54</f>
        <v>485248.35196531791</v>
      </c>
      <c r="M63" s="587">
        <f>'ตาราง 2'!K54</f>
        <v>612.54254335260111</v>
      </c>
      <c r="N63" s="587">
        <f t="shared" si="11"/>
        <v>687145.60144508665</v>
      </c>
      <c r="O63" s="587">
        <f>'ตาราง 2'!G54</f>
        <v>896658.76878612721</v>
      </c>
      <c r="P63" s="587">
        <f>'ตาราง 2'!H54</f>
        <v>60102.989537572255</v>
      </c>
      <c r="Q63" s="587">
        <f>'ตาราง 2'!L54</f>
        <v>5586.3699421965321</v>
      </c>
      <c r="R63" s="587">
        <f>'ตาราง 2'!M54</f>
        <v>82.554913294797657</v>
      </c>
      <c r="S63" s="759">
        <f t="shared" si="12"/>
        <v>1649576.2846242776</v>
      </c>
      <c r="T63" s="640">
        <f t="shared" si="8"/>
        <v>-17.813538669065895</v>
      </c>
      <c r="U63" s="640">
        <f t="shared" si="13"/>
        <v>-2.5233556786343483</v>
      </c>
      <c r="V63" s="640">
        <f t="shared" si="14"/>
        <v>-2.5233556786343483</v>
      </c>
    </row>
    <row r="64" spans="1:22">
      <c r="A64" s="761" t="s">
        <v>343</v>
      </c>
      <c r="B64" s="691">
        <v>317351.28999999998</v>
      </c>
      <c r="C64" s="587">
        <v>935851.8</v>
      </c>
      <c r="D64" s="587">
        <v>918.81</v>
      </c>
      <c r="E64" s="587">
        <f t="shared" si="9"/>
        <v>1254121.9000000001</v>
      </c>
      <c r="F64" s="587">
        <v>1178215.26</v>
      </c>
      <c r="G64" s="587">
        <v>97554.46</v>
      </c>
      <c r="H64" s="758">
        <v>-26047.53</v>
      </c>
      <c r="I64" s="587">
        <v>34573.65</v>
      </c>
      <c r="J64" s="759">
        <f t="shared" si="10"/>
        <v>2538417.7400000002</v>
      </c>
      <c r="K64" s="587">
        <f>'ตาราง 2'!I55</f>
        <v>402569.41387283237</v>
      </c>
      <c r="L64" s="587">
        <f>'ตาราง 2'!J55</f>
        <v>970496.70393063582</v>
      </c>
      <c r="M64" s="587">
        <f>'ตาราง 2'!K55</f>
        <v>1225.0850867052022</v>
      </c>
      <c r="N64" s="587">
        <f t="shared" si="11"/>
        <v>1374291.2028901733</v>
      </c>
      <c r="O64" s="587">
        <f>'ตาราง 2'!G55</f>
        <v>1793317.5375722544</v>
      </c>
      <c r="P64" s="587">
        <f>'ตาราง 2'!H55</f>
        <v>120205.97907514451</v>
      </c>
      <c r="Q64" s="587">
        <f>'ตาราง 2'!L55</f>
        <v>11172.739884393064</v>
      </c>
      <c r="R64" s="587">
        <f>'ตาราง 2'!M55</f>
        <v>165.10982658959531</v>
      </c>
      <c r="S64" s="759">
        <f t="shared" si="12"/>
        <v>3299152.5692485552</v>
      </c>
      <c r="T64" s="640">
        <f t="shared" si="8"/>
        <v>9.5819475674711629</v>
      </c>
      <c r="U64" s="640">
        <f t="shared" si="13"/>
        <v>29.968858839150524</v>
      </c>
      <c r="V64" s="640">
        <f t="shared" si="14"/>
        <v>29.968858839150524</v>
      </c>
    </row>
    <row r="65" spans="1:22">
      <c r="A65" s="761" t="s">
        <v>344</v>
      </c>
      <c r="B65" s="691">
        <v>423135.05</v>
      </c>
      <c r="C65" s="587">
        <v>1247802.4099999999</v>
      </c>
      <c r="D65" s="587">
        <v>1225.0899999999999</v>
      </c>
      <c r="E65" s="587">
        <f t="shared" si="9"/>
        <v>1672162.55</v>
      </c>
      <c r="F65" s="732">
        <v>1570953.68</v>
      </c>
      <c r="G65" s="732">
        <v>130072.61</v>
      </c>
      <c r="H65" s="775">
        <v>-34730.050000000003</v>
      </c>
      <c r="I65" s="732">
        <v>46098.2</v>
      </c>
      <c r="J65" s="759">
        <f t="shared" si="10"/>
        <v>3384556.99</v>
      </c>
      <c r="K65" s="587">
        <f>'ตาราง 2'!I56</f>
        <v>402569.41387283237</v>
      </c>
      <c r="L65" s="587">
        <f>'ตาราง 2'!J56</f>
        <v>970496.70393063582</v>
      </c>
      <c r="M65" s="587">
        <f>'ตาราง 2'!K56</f>
        <v>1225.0850867052022</v>
      </c>
      <c r="N65" s="587">
        <f t="shared" si="11"/>
        <v>1374291.2028901733</v>
      </c>
      <c r="O65" s="587">
        <f>'ตาราง 2'!G56</f>
        <v>1793317.5375722544</v>
      </c>
      <c r="P65" s="587">
        <f>'ตาราง 2'!H56</f>
        <v>120205.97907514451</v>
      </c>
      <c r="Q65" s="587">
        <f>'ตาราง 2'!L56</f>
        <v>11172.739884393064</v>
      </c>
      <c r="R65" s="587">
        <f>'ตาราง 2'!M56</f>
        <v>165.10982658959531</v>
      </c>
      <c r="S65" s="759">
        <f t="shared" si="12"/>
        <v>3299152.5692485552</v>
      </c>
      <c r="T65" s="640">
        <f t="shared" si="8"/>
        <v>-17.813540143560012</v>
      </c>
      <c r="U65" s="640">
        <f t="shared" si="13"/>
        <v>-2.5233559666384875</v>
      </c>
      <c r="V65" s="640">
        <f t="shared" si="14"/>
        <v>-2.5233559666384875</v>
      </c>
    </row>
    <row r="66" spans="1:22">
      <c r="A66" s="159" t="s">
        <v>1538</v>
      </c>
      <c r="B66" s="691">
        <v>528918.81000000006</v>
      </c>
      <c r="C66" s="587">
        <v>1559753.01</v>
      </c>
      <c r="D66" s="587">
        <v>1531.36</v>
      </c>
      <c r="E66" s="587">
        <f t="shared" si="9"/>
        <v>2090203.1800000002</v>
      </c>
      <c r="F66" s="732">
        <v>1963692.1</v>
      </c>
      <c r="G66" s="732">
        <v>162590.76</v>
      </c>
      <c r="H66" s="775">
        <v>-43412.56</v>
      </c>
      <c r="I66" s="732">
        <v>57622.75</v>
      </c>
      <c r="J66" s="759">
        <f t="shared" si="10"/>
        <v>4230696.2300000004</v>
      </c>
      <c r="K66" s="587">
        <f>'ตาราง 2'!I57</f>
        <v>402569.41387283237</v>
      </c>
      <c r="L66" s="587">
        <f>'ตาราง 2'!J57</f>
        <v>970496.70393063582</v>
      </c>
      <c r="M66" s="587">
        <f>'ตาราง 2'!K57</f>
        <v>1225.0850867052022</v>
      </c>
      <c r="N66" s="587">
        <f t="shared" si="11"/>
        <v>1374291.2028901733</v>
      </c>
      <c r="O66" s="587">
        <f>'ตาราง 2'!G57</f>
        <v>1793317.5375722544</v>
      </c>
      <c r="P66" s="587">
        <f>'ตาราง 2'!H57</f>
        <v>120205.97907514451</v>
      </c>
      <c r="Q66" s="587">
        <f>'ตาราง 2'!L57</f>
        <v>11172.739884393064</v>
      </c>
      <c r="R66" s="587">
        <f>'ตาราง 2'!M57</f>
        <v>165.10982658959531</v>
      </c>
      <c r="S66" s="759">
        <f t="shared" si="12"/>
        <v>3299152.5692485552</v>
      </c>
      <c r="T66" s="640">
        <f t="shared" si="8"/>
        <v>-34.250831878928956</v>
      </c>
      <c r="U66" s="640">
        <f t="shared" si="13"/>
        <v>-22.018684635068801</v>
      </c>
      <c r="V66" s="640">
        <f t="shared" si="14"/>
        <v>-22.018684635068801</v>
      </c>
    </row>
    <row r="67" spans="1:22">
      <c r="A67" s="776" t="s">
        <v>346</v>
      </c>
      <c r="B67" s="691">
        <v>1057837.6200000001</v>
      </c>
      <c r="C67" s="587">
        <v>3119506.01</v>
      </c>
      <c r="D67" s="587">
        <v>3062.71</v>
      </c>
      <c r="E67" s="587">
        <f t="shared" si="9"/>
        <v>4180406.34</v>
      </c>
      <c r="F67" s="733">
        <v>3927384.19</v>
      </c>
      <c r="G67" s="733">
        <v>325181.53000000003</v>
      </c>
      <c r="H67" s="758">
        <v>-86825.12</v>
      </c>
      <c r="I67" s="733">
        <v>115245.49</v>
      </c>
      <c r="J67" s="759">
        <f t="shared" si="10"/>
        <v>8461392.4299999978</v>
      </c>
      <c r="K67" s="587">
        <f>'ตาราง 2'!I58</f>
        <v>1006423.534682081</v>
      </c>
      <c r="L67" s="587">
        <f>'ตาราง 2'!J58</f>
        <v>2426241.7598265894</v>
      </c>
      <c r="M67" s="587">
        <f>'ตาราง 2'!K58</f>
        <v>3062.712716763006</v>
      </c>
      <c r="N67" s="587">
        <f t="shared" si="11"/>
        <v>3435728.0072254334</v>
      </c>
      <c r="O67" s="587">
        <f>'ตาราง 2'!G58</f>
        <v>4483293.8439306356</v>
      </c>
      <c r="P67" s="587">
        <f>'ตาราง 2'!H58</f>
        <v>300514.94768786122</v>
      </c>
      <c r="Q67" s="587">
        <f>'ตาราง 2'!L58</f>
        <v>27931.84971098266</v>
      </c>
      <c r="R67" s="587">
        <f>'ตาราง 2'!M58</f>
        <v>412.77456647398827</v>
      </c>
      <c r="S67" s="759">
        <f t="shared" si="12"/>
        <v>8247881.4231213871</v>
      </c>
      <c r="T67" s="640">
        <f t="shared" si="8"/>
        <v>-17.813539455462756</v>
      </c>
      <c r="U67" s="640">
        <f t="shared" si="13"/>
        <v>-2.5233554482310039</v>
      </c>
      <c r="V67" s="640">
        <f t="shared" si="14"/>
        <v>-2.5233554482310039</v>
      </c>
    </row>
    <row r="68" spans="1:22">
      <c r="A68" s="777" t="s">
        <v>347</v>
      </c>
      <c r="B68" s="691">
        <v>528918.81000000006</v>
      </c>
      <c r="C68" s="587">
        <v>1559753.01</v>
      </c>
      <c r="D68" s="587">
        <v>1531.36</v>
      </c>
      <c r="E68" s="587">
        <f t="shared" si="9"/>
        <v>2090203.1800000002</v>
      </c>
      <c r="F68" s="590">
        <v>1963692.1</v>
      </c>
      <c r="G68" s="590">
        <v>162590.76</v>
      </c>
      <c r="H68" s="758">
        <v>-43412.56</v>
      </c>
      <c r="I68" s="590">
        <v>57622.75</v>
      </c>
      <c r="J68" s="759">
        <f t="shared" si="10"/>
        <v>4230696.2300000004</v>
      </c>
      <c r="K68" s="587">
        <f>'ตาราง 2'!I59</f>
        <v>402569.41387283237</v>
      </c>
      <c r="L68" s="587">
        <f>'ตาราง 2'!J59</f>
        <v>970496.70393063582</v>
      </c>
      <c r="M68" s="587">
        <f>'ตาราง 2'!K59</f>
        <v>1225.0850867052022</v>
      </c>
      <c r="N68" s="587">
        <f t="shared" si="11"/>
        <v>1374291.2028901733</v>
      </c>
      <c r="O68" s="587">
        <f>'ตาราง 2'!G59</f>
        <v>1793317.5375722544</v>
      </c>
      <c r="P68" s="587">
        <f>'ตาราง 2'!H59</f>
        <v>120205.97907514451</v>
      </c>
      <c r="Q68" s="587">
        <f>'ตาราง 2'!L59</f>
        <v>11172.739884393064</v>
      </c>
      <c r="R68" s="587">
        <f>'ตาราง 2'!M59</f>
        <v>165.10982658959531</v>
      </c>
      <c r="S68" s="759">
        <f t="shared" si="12"/>
        <v>3299152.5692485552</v>
      </c>
      <c r="T68" s="640">
        <f t="shared" si="8"/>
        <v>-34.250831878928956</v>
      </c>
      <c r="U68" s="640">
        <f t="shared" si="13"/>
        <v>-22.018684635068801</v>
      </c>
      <c r="V68" s="640">
        <f t="shared" si="14"/>
        <v>-22.018684635068801</v>
      </c>
    </row>
    <row r="69" spans="1:22">
      <c r="A69" s="777" t="s">
        <v>348</v>
      </c>
      <c r="B69" s="691">
        <v>211567.52</v>
      </c>
      <c r="C69" s="587">
        <v>623901.19999999995</v>
      </c>
      <c r="D69" s="587">
        <v>612.54</v>
      </c>
      <c r="E69" s="587">
        <f t="shared" si="9"/>
        <v>836081.26</v>
      </c>
      <c r="F69" s="587">
        <v>785476.84</v>
      </c>
      <c r="G69" s="587">
        <v>65036.31</v>
      </c>
      <c r="H69" s="758">
        <v>-17365.02</v>
      </c>
      <c r="I69" s="587">
        <v>23049.1</v>
      </c>
      <c r="J69" s="759">
        <f t="shared" si="10"/>
        <v>1692278.4900000002</v>
      </c>
      <c r="K69" s="587">
        <f>'ตาราง 2'!I60</f>
        <v>301927.06040462427</v>
      </c>
      <c r="L69" s="587">
        <f>'ตาราง 2'!J60</f>
        <v>727872.52794797695</v>
      </c>
      <c r="M69" s="587">
        <f>'ตาราง 2'!K60</f>
        <v>918.81381502890179</v>
      </c>
      <c r="N69" s="587">
        <f t="shared" si="11"/>
        <v>1030718.4021676301</v>
      </c>
      <c r="O69" s="587">
        <f>'ตาราง 2'!G60</f>
        <v>1344988.1531791908</v>
      </c>
      <c r="P69" s="587">
        <f>'ตาราง 2'!H60</f>
        <v>90154.484306358383</v>
      </c>
      <c r="Q69" s="587">
        <f>'ตาราง 2'!L60</f>
        <v>8379.5549132947981</v>
      </c>
      <c r="R69" s="587">
        <f>'ตาราง 2'!M60</f>
        <v>123.83236994219649</v>
      </c>
      <c r="S69" s="759">
        <f t="shared" si="12"/>
        <v>2474364.4269364164</v>
      </c>
      <c r="T69" s="640">
        <f t="shared" si="8"/>
        <v>23.27969199640118</v>
      </c>
      <c r="U69" s="640">
        <f t="shared" si="13"/>
        <v>46.214966482048474</v>
      </c>
      <c r="V69" s="640">
        <f t="shared" si="14"/>
        <v>46.214966482048474</v>
      </c>
    </row>
    <row r="70" spans="1:22">
      <c r="A70" s="777" t="s">
        <v>1536</v>
      </c>
      <c r="B70" s="691">
        <v>317351.28999999998</v>
      </c>
      <c r="C70" s="587">
        <v>935851.8</v>
      </c>
      <c r="D70" s="587">
        <v>918.81</v>
      </c>
      <c r="E70" s="587">
        <f t="shared" si="9"/>
        <v>1254121.9000000001</v>
      </c>
      <c r="F70" s="587">
        <v>1178215.26</v>
      </c>
      <c r="G70" s="587">
        <v>97554.46</v>
      </c>
      <c r="H70" s="758">
        <v>-26047.53</v>
      </c>
      <c r="I70" s="587">
        <v>34573.65</v>
      </c>
      <c r="J70" s="759">
        <f t="shared" si="10"/>
        <v>2538417.7400000002</v>
      </c>
      <c r="K70" s="587">
        <f>'ตาราง 2'!I61</f>
        <v>301927.06040462427</v>
      </c>
      <c r="L70" s="587">
        <f>'ตาราง 2'!J61</f>
        <v>727872.52794797695</v>
      </c>
      <c r="M70" s="587">
        <f>'ตาราง 2'!K61</f>
        <v>918.81381502890179</v>
      </c>
      <c r="N70" s="587">
        <f t="shared" si="11"/>
        <v>1030718.4021676301</v>
      </c>
      <c r="O70" s="587">
        <f>'ตาราง 2'!G61</f>
        <v>1344988.1531791908</v>
      </c>
      <c r="P70" s="587">
        <f>'ตาราง 2'!H61</f>
        <v>90154.484306358383</v>
      </c>
      <c r="Q70" s="587">
        <f>'ตาราง 2'!L61</f>
        <v>8379.5549132947981</v>
      </c>
      <c r="R70" s="587">
        <f>'ตาราง 2'!M61</f>
        <v>123.83236994219649</v>
      </c>
      <c r="S70" s="759">
        <f t="shared" si="12"/>
        <v>2474364.4269364164</v>
      </c>
      <c r="T70" s="640">
        <f t="shared" si="8"/>
        <v>-17.813539324396611</v>
      </c>
      <c r="U70" s="640">
        <f t="shared" si="13"/>
        <v>-2.5233558706371078</v>
      </c>
      <c r="V70" s="640">
        <f t="shared" si="14"/>
        <v>-2.5233558706371078</v>
      </c>
    </row>
    <row r="71" spans="1:22">
      <c r="A71" s="778" t="s">
        <v>410</v>
      </c>
      <c r="B71" s="691">
        <v>634702.56999999995</v>
      </c>
      <c r="C71" s="587">
        <v>1871703.61</v>
      </c>
      <c r="D71" s="587">
        <v>1837.63</v>
      </c>
      <c r="E71" s="587">
        <f t="shared" si="9"/>
        <v>2508243.81</v>
      </c>
      <c r="F71" s="587">
        <v>2356430.52</v>
      </c>
      <c r="G71" s="587">
        <v>195108.92</v>
      </c>
      <c r="H71" s="758">
        <v>-52095.07</v>
      </c>
      <c r="I71" s="587">
        <v>69147.289999999994</v>
      </c>
      <c r="J71" s="759">
        <f t="shared" si="10"/>
        <v>5076835.47</v>
      </c>
      <c r="K71" s="587">
        <f>'ตาราง 2'!I62</f>
        <v>603854.12080924853</v>
      </c>
      <c r="L71" s="587">
        <f>'ตาราง 2'!J62</f>
        <v>1455745.0558959539</v>
      </c>
      <c r="M71" s="587">
        <f>'ตาราง 2'!K62</f>
        <v>1837.6276300578036</v>
      </c>
      <c r="N71" s="587">
        <f t="shared" si="11"/>
        <v>2061436.8043352603</v>
      </c>
      <c r="O71" s="587">
        <f>'ตาราง 2'!G62</f>
        <v>2689976.3063583816</v>
      </c>
      <c r="P71" s="587">
        <f>'ตาราง 2'!H62</f>
        <v>180308.96861271677</v>
      </c>
      <c r="Q71" s="587">
        <f>'ตาราง 2'!L62</f>
        <v>16759.109826589596</v>
      </c>
      <c r="R71" s="587">
        <f>'ตาราง 2'!M62</f>
        <v>247.66473988439299</v>
      </c>
      <c r="S71" s="759">
        <f t="shared" si="12"/>
        <v>4948728.8538728328</v>
      </c>
      <c r="T71" s="640">
        <f t="shared" si="8"/>
        <v>-17.813539652061962</v>
      </c>
      <c r="U71" s="640">
        <f t="shared" si="13"/>
        <v>-2.5233556786343305</v>
      </c>
      <c r="V71" s="640">
        <f t="shared" si="14"/>
        <v>-2.5233556786343305</v>
      </c>
    </row>
    <row r="72" spans="1:22">
      <c r="A72" s="778" t="s">
        <v>532</v>
      </c>
      <c r="B72" s="691">
        <v>423135.05</v>
      </c>
      <c r="C72" s="735">
        <v>1247802.4099999999</v>
      </c>
      <c r="D72" s="735">
        <v>1225.0899999999999</v>
      </c>
      <c r="E72" s="587">
        <f t="shared" si="9"/>
        <v>1672162.55</v>
      </c>
      <c r="F72" s="735">
        <v>1570953.68</v>
      </c>
      <c r="G72" s="735">
        <v>130072.61</v>
      </c>
      <c r="H72" s="779">
        <v>-34730.050000000003</v>
      </c>
      <c r="I72" s="735">
        <v>46098.2</v>
      </c>
      <c r="J72" s="759">
        <f t="shared" si="10"/>
        <v>3384556.99</v>
      </c>
      <c r="K72" s="587">
        <f>'ตาราง 2'!I63</f>
        <v>402569.41387283237</v>
      </c>
      <c r="L72" s="587">
        <f>'ตาราง 2'!J63</f>
        <v>970496.70393063582</v>
      </c>
      <c r="M72" s="587">
        <f>'ตาราง 2'!K63</f>
        <v>1225.0850867052022</v>
      </c>
      <c r="N72" s="587">
        <f t="shared" si="11"/>
        <v>1374291.2028901733</v>
      </c>
      <c r="O72" s="587">
        <f>'ตาราง 2'!G63</f>
        <v>1793317.5375722544</v>
      </c>
      <c r="P72" s="587">
        <f>'ตาราง 2'!H63</f>
        <v>120205.97907514451</v>
      </c>
      <c r="Q72" s="587">
        <f>'ตาราง 2'!L63</f>
        <v>11172.739884393064</v>
      </c>
      <c r="R72" s="587">
        <f>'ตาราง 2'!M63</f>
        <v>165.10982658959531</v>
      </c>
      <c r="S72" s="759">
        <f t="shared" si="12"/>
        <v>3299152.5692485552</v>
      </c>
      <c r="T72" s="780">
        <f>+(N72-E72)/N72</f>
        <v>-0.21674543683565381</v>
      </c>
      <c r="U72" s="640">
        <f>+(S72-J72)/S72</f>
        <v>-2.5886775151746765E-2</v>
      </c>
      <c r="V72" s="640">
        <f>+(S72-J72)/S72</f>
        <v>-2.5886775151746765E-2</v>
      </c>
    </row>
    <row r="73" spans="1:22" ht="24.75" thickBot="1">
      <c r="A73" s="737" t="s">
        <v>533</v>
      </c>
      <c r="B73" s="734">
        <f>211567.52+0.03</f>
        <v>211567.55</v>
      </c>
      <c r="C73" s="699">
        <v>623901.19999999995</v>
      </c>
      <c r="D73" s="699">
        <v>612.54</v>
      </c>
      <c r="E73" s="587">
        <f t="shared" si="9"/>
        <v>836081.29</v>
      </c>
      <c r="F73" s="699">
        <f>785476.84-0.03</f>
        <v>785476.80999999994</v>
      </c>
      <c r="G73" s="699">
        <f>65036.31-0.02</f>
        <v>65036.29</v>
      </c>
      <c r="H73" s="767">
        <v>-17365.04</v>
      </c>
      <c r="I73" s="699">
        <f>23049.1-0.01</f>
        <v>23049.09</v>
      </c>
      <c r="J73" s="759">
        <f t="shared" si="10"/>
        <v>1692278.4400000002</v>
      </c>
      <c r="K73" s="699">
        <f>'ตาราง 2'!I64</f>
        <v>201284.70693641619</v>
      </c>
      <c r="L73" s="587">
        <f>'ตาราง 2'!J64</f>
        <v>485248.35196531791</v>
      </c>
      <c r="M73" s="587">
        <f>'ตาราง 2'!K64</f>
        <v>612.54254335260111</v>
      </c>
      <c r="N73" s="587">
        <f t="shared" si="11"/>
        <v>687145.60144508665</v>
      </c>
      <c r="O73" s="699">
        <f>'ตาราง 2'!G64</f>
        <v>896658.76878612721</v>
      </c>
      <c r="P73" s="699">
        <f>'ตาราง 2'!H64</f>
        <v>60102.989537572255</v>
      </c>
      <c r="Q73" s="699">
        <f>'ตาราง 2'!L64</f>
        <v>5586.3699421965321</v>
      </c>
      <c r="R73" s="587">
        <f>'ตาราง 2'!M64</f>
        <v>82.554913294797657</v>
      </c>
      <c r="S73" s="759">
        <f t="shared" si="12"/>
        <v>1649576.2846242776</v>
      </c>
      <c r="T73" s="781">
        <f t="shared" si="8"/>
        <v>-17.813541618054074</v>
      </c>
      <c r="U73" s="781">
        <f t="shared" si="13"/>
        <v>-2.5233527985927986</v>
      </c>
      <c r="V73" s="781">
        <f t="shared" si="14"/>
        <v>-2.5233527985927986</v>
      </c>
    </row>
    <row r="74" spans="1:22" ht="24.75" thickBot="1">
      <c r="A74" s="782" t="s">
        <v>1</v>
      </c>
      <c r="B74" s="738">
        <f>SUM(B52:B73)</f>
        <v>10049457.43</v>
      </c>
      <c r="C74" s="738">
        <f>SUM(C52:C73)</f>
        <v>29635307.120000001</v>
      </c>
      <c r="D74" s="738">
        <f>SUM(D52:D73)</f>
        <v>29095.770000000008</v>
      </c>
      <c r="E74" s="738">
        <f>SUM(B74:D74)</f>
        <v>39713860.32</v>
      </c>
      <c r="F74" s="738">
        <f>SUM(F52:F73)</f>
        <v>37310149.840000011</v>
      </c>
      <c r="G74" s="738">
        <f>SUM(G52:G73)</f>
        <v>3089224.5</v>
      </c>
      <c r="H74" s="738">
        <f>SUM(H52:H73)</f>
        <v>-824838.60000000021</v>
      </c>
      <c r="I74" s="738">
        <f>SUM(I52:I73)</f>
        <v>1094832.1700000002</v>
      </c>
      <c r="J74" s="738">
        <f>SUM(F74:I74)</f>
        <v>40669367.910000011</v>
      </c>
      <c r="K74" s="741">
        <f>SUM(K52:K73)</f>
        <v>9259096.5190751422</v>
      </c>
      <c r="L74" s="783">
        <f>SUM(L52:L73)</f>
        <v>22321424.19040462</v>
      </c>
      <c r="M74" s="783">
        <f>SUM(M52:M73)</f>
        <v>28176.956994219654</v>
      </c>
      <c r="N74" s="783">
        <f>SUM(K74:M74)</f>
        <v>31608697.666473985</v>
      </c>
      <c r="O74" s="783">
        <f>SUM(O52:O73)</f>
        <v>41246303.364161849</v>
      </c>
      <c r="P74" s="783">
        <f>SUM(P52:P73)</f>
        <v>2764737.5187283233</v>
      </c>
      <c r="Q74" s="783">
        <f>SUM(Q52:Q73)</f>
        <v>256973.01734104042</v>
      </c>
      <c r="R74" s="783">
        <f>SUM(R52:R73)</f>
        <v>3797.5260115606925</v>
      </c>
      <c r="S74" s="783">
        <f>SUM(O74:R74)</f>
        <v>44271811.426242776</v>
      </c>
      <c r="T74" s="744"/>
      <c r="U74" s="744"/>
      <c r="V74" s="744"/>
    </row>
    <row r="75" spans="1:22" ht="24.75" thickBot="1">
      <c r="A75" s="784" t="s">
        <v>361</v>
      </c>
      <c r="B75" s="748">
        <f>B37+B74</f>
        <v>36601181.790000007</v>
      </c>
      <c r="C75" s="748">
        <f>C37+C74</f>
        <v>107934908.04000001</v>
      </c>
      <c r="D75" s="748">
        <f>D37+D74</f>
        <v>105969.86</v>
      </c>
      <c r="E75" s="745">
        <f>SUM(B75:D75)</f>
        <v>144642059.69000003</v>
      </c>
      <c r="F75" s="745">
        <f>F37+F74</f>
        <v>135887493.09</v>
      </c>
      <c r="G75" s="745">
        <f>G37+G74</f>
        <v>11251280.809999999</v>
      </c>
      <c r="H75" s="745">
        <f>H37+H74</f>
        <v>-3004149.0000000005</v>
      </c>
      <c r="I75" s="745">
        <f>I37+I74</f>
        <v>3987494</v>
      </c>
      <c r="J75" s="745">
        <f>SUM(F75:I75)</f>
        <v>148122118.90000001</v>
      </c>
      <c r="K75" s="748">
        <f>K37+K74</f>
        <v>34822254.299999997</v>
      </c>
      <c r="L75" s="748">
        <f>L37+L74</f>
        <v>83947964.890000001</v>
      </c>
      <c r="M75" s="748">
        <f>M37+M74</f>
        <v>105969.86</v>
      </c>
      <c r="N75" s="748">
        <f>SUM(K75:M75)</f>
        <v>118876189.05</v>
      </c>
      <c r="O75" s="748">
        <f>O37+O74</f>
        <v>155121967</v>
      </c>
      <c r="P75" s="748">
        <f>P37+P74</f>
        <v>10397817.189999999</v>
      </c>
      <c r="Q75" s="748">
        <f>Q37+Q74</f>
        <v>966442.00000000012</v>
      </c>
      <c r="R75" s="748">
        <f>R37+R74</f>
        <v>14281.999999999995</v>
      </c>
      <c r="S75" s="748">
        <f>SUM(O75:R75)</f>
        <v>166500508.19</v>
      </c>
      <c r="T75" s="750"/>
      <c r="U75" s="750"/>
      <c r="V75" s="750"/>
    </row>
    <row r="76" spans="1:22" ht="24.75" thickTop="1">
      <c r="A76" s="785"/>
      <c r="B76" s="786">
        <f>25084009.16-B75</f>
        <v>-11517172.630000006</v>
      </c>
      <c r="C76" s="786">
        <f>121757366.99-C75</f>
        <v>13822458.949999988</v>
      </c>
      <c r="D76" s="786">
        <f>105969.86-D75</f>
        <v>0</v>
      </c>
      <c r="E76" s="786">
        <f>SUM(B76:D76)</f>
        <v>2305286.3199999817</v>
      </c>
      <c r="F76" s="786">
        <f>135126668.96-F75</f>
        <v>-760824.12999999523</v>
      </c>
      <c r="G76" s="786">
        <f>10090486.41-G75</f>
        <v>-1160794.3999999985</v>
      </c>
      <c r="H76" s="786">
        <f>450582.05-H75</f>
        <v>3454731.0500000003</v>
      </c>
      <c r="I76" s="786">
        <f>1+8131121-I75</f>
        <v>4143628</v>
      </c>
      <c r="J76" s="786">
        <f>E75+J75</f>
        <v>292764178.59000003</v>
      </c>
      <c r="K76" s="786"/>
      <c r="L76" s="786"/>
      <c r="M76" s="786">
        <f>L75+M75</f>
        <v>84053934.75</v>
      </c>
      <c r="N76" s="786">
        <f>K75+L75+M75</f>
        <v>118876189.05</v>
      </c>
      <c r="O76" s="786"/>
      <c r="P76" s="786"/>
      <c r="Q76" s="786"/>
      <c r="R76" s="786">
        <f>SUM(O75:R75)</f>
        <v>166500508.19</v>
      </c>
      <c r="S76" s="724">
        <f>N75+S75</f>
        <v>285376697.24000001</v>
      </c>
      <c r="T76" s="558"/>
      <c r="U76" s="558"/>
      <c r="V76" s="558"/>
    </row>
    <row r="77" spans="1:22">
      <c r="A77" s="493"/>
      <c r="B77" s="493"/>
      <c r="C77" s="534">
        <f>C76-D75</f>
        <v>13716489.089999989</v>
      </c>
      <c r="D77" s="534"/>
      <c r="E77" s="534"/>
      <c r="F77" s="493"/>
      <c r="G77" s="493"/>
      <c r="H77" s="787"/>
      <c r="I77" s="493"/>
      <c r="J77" s="786"/>
      <c r="K77" s="788"/>
      <c r="L77" s="789"/>
      <c r="M77" s="789"/>
      <c r="N77" s="493"/>
      <c r="O77" s="789"/>
      <c r="P77" s="789"/>
      <c r="Q77" s="789"/>
      <c r="R77" s="789">
        <f>166500508.19-R76</f>
        <v>0</v>
      </c>
      <c r="S77" s="786"/>
      <c r="T77" s="558"/>
      <c r="U77" s="558"/>
      <c r="V77" s="558"/>
    </row>
    <row r="78" spans="1:22">
      <c r="A78" s="792" t="s">
        <v>477</v>
      </c>
      <c r="S78" s="383"/>
    </row>
    <row r="79" spans="1:22">
      <c r="A79" s="264" t="s">
        <v>1574</v>
      </c>
      <c r="S79" s="383"/>
    </row>
    <row r="80" spans="1:22">
      <c r="A80" s="493" t="s">
        <v>1563</v>
      </c>
      <c r="S80" s="383"/>
    </row>
    <row r="81" spans="1:19">
      <c r="A81" s="493" t="s">
        <v>1564</v>
      </c>
      <c r="S81" s="383"/>
    </row>
    <row r="82" spans="1:19">
      <c r="A82" s="264" t="s">
        <v>1565</v>
      </c>
    </row>
    <row r="83" spans="1:19">
      <c r="A83" s="239" t="s">
        <v>1566</v>
      </c>
      <c r="S83" s="383"/>
    </row>
    <row r="89" spans="1:19">
      <c r="J89" s="786"/>
      <c r="S89" s="383"/>
    </row>
  </sheetData>
  <mergeCells count="51">
    <mergeCell ref="A1:V1"/>
    <mergeCell ref="A4:A7"/>
    <mergeCell ref="B4:J4"/>
    <mergeCell ref="K4:S4"/>
    <mergeCell ref="B5:E5"/>
    <mergeCell ref="F5:I5"/>
    <mergeCell ref="J5:J7"/>
    <mergeCell ref="K5:N5"/>
    <mergeCell ref="O5:R5"/>
    <mergeCell ref="S5:S7"/>
    <mergeCell ref="D6:D7"/>
    <mergeCell ref="B6:B7"/>
    <mergeCell ref="C6:C7"/>
    <mergeCell ref="E6:E7"/>
    <mergeCell ref="F6:F7"/>
    <mergeCell ref="G6:G7"/>
    <mergeCell ref="A47:A50"/>
    <mergeCell ref="B47:J47"/>
    <mergeCell ref="K47:S47"/>
    <mergeCell ref="B48:E48"/>
    <mergeCell ref="F48:I48"/>
    <mergeCell ref="J48:J50"/>
    <mergeCell ref="K48:N48"/>
    <mergeCell ref="O48:R48"/>
    <mergeCell ref="I49:I50"/>
    <mergeCell ref="D49:D50"/>
    <mergeCell ref="M49:M50"/>
    <mergeCell ref="B49:B50"/>
    <mergeCell ref="C49:C50"/>
    <mergeCell ref="E49:E50"/>
    <mergeCell ref="F49:F50"/>
    <mergeCell ref="G49:G50"/>
    <mergeCell ref="H6:H7"/>
    <mergeCell ref="M6:M7"/>
    <mergeCell ref="K6:K7"/>
    <mergeCell ref="L6:L7"/>
    <mergeCell ref="H49:H50"/>
    <mergeCell ref="S48:S50"/>
    <mergeCell ref="N49:N50"/>
    <mergeCell ref="Q6:Q7"/>
    <mergeCell ref="R6:R7"/>
    <mergeCell ref="I6:I7"/>
    <mergeCell ref="K49:K50"/>
    <mergeCell ref="L49:L50"/>
    <mergeCell ref="O6:O7"/>
    <mergeCell ref="Q49:Q50"/>
    <mergeCell ref="R49:R50"/>
    <mergeCell ref="N6:N7"/>
    <mergeCell ref="O49:O50"/>
    <mergeCell ref="P49:P50"/>
    <mergeCell ref="P6:P7"/>
  </mergeCells>
  <pageMargins left="0.118110236220472" right="0.118110236220472" top="0.72" bottom="0.74803149606299202" header="0.31496062992126" footer="0.31496062992126"/>
  <pageSetup paperSize="9" scale="4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23"/>
  <sheetViews>
    <sheetView topLeftCell="A4" workbookViewId="0">
      <selection activeCell="A17" sqref="A17"/>
    </sheetView>
  </sheetViews>
  <sheetFormatPr defaultRowHeight="24"/>
  <cols>
    <col min="1" max="1" width="27.5703125" style="791" customWidth="1"/>
    <col min="2" max="2" width="16.28515625" style="791" customWidth="1"/>
    <col min="3" max="3" width="17.140625" style="791" customWidth="1"/>
    <col min="4" max="4" width="16.7109375" style="791" customWidth="1"/>
    <col min="5" max="5" width="17" style="791" customWidth="1"/>
    <col min="6" max="6" width="16.5703125" style="791" customWidth="1"/>
    <col min="7" max="7" width="18" style="791" customWidth="1"/>
    <col min="8" max="8" width="12.7109375" style="791" customWidth="1"/>
    <col min="9" max="9" width="14.5703125" style="791" customWidth="1"/>
    <col min="10" max="10" width="14.42578125" style="791" customWidth="1"/>
    <col min="11" max="11" width="9.140625" style="791"/>
    <col min="12" max="12" width="12.5703125" style="791" customWidth="1"/>
    <col min="13" max="16384" width="9.140625" style="791"/>
  </cols>
  <sheetData>
    <row r="1" spans="1:12">
      <c r="A1" s="1070" t="s">
        <v>1558</v>
      </c>
      <c r="B1" s="1070"/>
      <c r="C1" s="1070"/>
      <c r="D1" s="1070"/>
      <c r="E1" s="1070"/>
      <c r="F1" s="1070"/>
      <c r="G1" s="1070"/>
      <c r="H1" s="1070"/>
      <c r="I1" s="1070"/>
      <c r="J1" s="1070"/>
    </row>
    <row r="2" spans="1:12">
      <c r="A2" s="792" t="s">
        <v>1518</v>
      </c>
      <c r="B2" s="792"/>
      <c r="C2" s="792"/>
      <c r="D2" s="792"/>
      <c r="E2" s="792"/>
      <c r="F2" s="792"/>
      <c r="G2" s="792"/>
      <c r="H2" s="792"/>
      <c r="I2" s="792"/>
      <c r="J2" s="792"/>
    </row>
    <row r="4" spans="1:12">
      <c r="A4" s="1071" t="s">
        <v>504</v>
      </c>
      <c r="B4" s="1074" t="s">
        <v>1526</v>
      </c>
      <c r="C4" s="1075"/>
      <c r="D4" s="1076"/>
      <c r="E4" s="1074" t="s">
        <v>1562</v>
      </c>
      <c r="F4" s="1075"/>
      <c r="G4" s="1076"/>
      <c r="H4" s="1074" t="s">
        <v>422</v>
      </c>
      <c r="I4" s="1075"/>
      <c r="J4" s="1076"/>
    </row>
    <row r="5" spans="1:12">
      <c r="A5" s="1072"/>
      <c r="B5" s="793" t="s">
        <v>442</v>
      </c>
      <c r="C5" s="793" t="s">
        <v>443</v>
      </c>
      <c r="D5" s="793" t="s">
        <v>1</v>
      </c>
      <c r="E5" s="793" t="s">
        <v>442</v>
      </c>
      <c r="F5" s="793" t="s">
        <v>443</v>
      </c>
      <c r="G5" s="793" t="s">
        <v>1</v>
      </c>
      <c r="H5" s="793" t="s">
        <v>442</v>
      </c>
      <c r="I5" s="793" t="s">
        <v>443</v>
      </c>
      <c r="J5" s="793" t="s">
        <v>351</v>
      </c>
    </row>
    <row r="6" spans="1:12">
      <c r="A6" s="1073"/>
      <c r="B6" s="794"/>
      <c r="C6" s="794"/>
      <c r="D6" s="794"/>
      <c r="E6" s="795"/>
      <c r="F6" s="795"/>
      <c r="G6" s="795"/>
      <c r="H6" s="795" t="s">
        <v>505</v>
      </c>
      <c r="I6" s="795" t="s">
        <v>505</v>
      </c>
      <c r="J6" s="795" t="s">
        <v>505</v>
      </c>
    </row>
    <row r="7" spans="1:12">
      <c r="A7" s="796" t="s">
        <v>506</v>
      </c>
      <c r="B7" s="797">
        <v>36601181.789999999</v>
      </c>
      <c r="C7" s="797"/>
      <c r="D7" s="797">
        <f t="shared" ref="D7:D12" si="0">SUM(B7:C7)</f>
        <v>36601181.789999999</v>
      </c>
      <c r="E7" s="797">
        <f>ตาราง12!K75</f>
        <v>34822254.299999997</v>
      </c>
      <c r="F7" s="797"/>
      <c r="G7" s="797">
        <f t="shared" ref="G7:G12" si="1">SUM(E7:F7)</f>
        <v>34822254.299999997</v>
      </c>
      <c r="H7" s="798">
        <f>(G7-D7)/D7*100</f>
        <v>-4.8603006870287233</v>
      </c>
      <c r="I7" s="796"/>
      <c r="J7" s="798">
        <f t="shared" ref="J7:J12" si="2">(G7-D7)/D7*100</f>
        <v>-4.8603006870287233</v>
      </c>
    </row>
    <row r="8" spans="1:12">
      <c r="A8" s="799" t="s">
        <v>507</v>
      </c>
      <c r="B8" s="800">
        <v>108040877.90000001</v>
      </c>
      <c r="C8" s="800"/>
      <c r="D8" s="800">
        <f t="shared" si="0"/>
        <v>108040877.90000001</v>
      </c>
      <c r="E8" s="800">
        <f>ตาราง12!L75+ตาราง12!M75</f>
        <v>84053934.75</v>
      </c>
      <c r="F8" s="800"/>
      <c r="G8" s="800">
        <f t="shared" si="1"/>
        <v>84053934.75</v>
      </c>
      <c r="H8" s="801">
        <f>(G8-D8)/D8*100</f>
        <v>-22.201729212346585</v>
      </c>
      <c r="I8" s="799"/>
      <c r="J8" s="801">
        <f t="shared" si="2"/>
        <v>-22.201729212346585</v>
      </c>
    </row>
    <row r="9" spans="1:12">
      <c r="A9" s="799" t="s">
        <v>508</v>
      </c>
      <c r="B9" s="800"/>
      <c r="C9" s="800">
        <v>135887493.09</v>
      </c>
      <c r="D9" s="800">
        <f t="shared" si="0"/>
        <v>135887493.09</v>
      </c>
      <c r="E9" s="800"/>
      <c r="F9" s="800">
        <f>ตาราง12!O75</f>
        <v>155121967</v>
      </c>
      <c r="G9" s="800">
        <f t="shared" si="1"/>
        <v>155121967</v>
      </c>
      <c r="H9" s="799"/>
      <c r="I9" s="801">
        <f>(G9-D9)/D9*100</f>
        <v>14.154705096561582</v>
      </c>
      <c r="J9" s="801">
        <f t="shared" si="2"/>
        <v>14.154705096561582</v>
      </c>
    </row>
    <row r="10" spans="1:12">
      <c r="A10" s="799" t="s">
        <v>509</v>
      </c>
      <c r="B10" s="800"/>
      <c r="C10" s="800">
        <v>11251280.810000001</v>
      </c>
      <c r="D10" s="800">
        <f t="shared" si="0"/>
        <v>11251280.810000001</v>
      </c>
      <c r="E10" s="800"/>
      <c r="F10" s="800">
        <f>ตาราง12!P75</f>
        <v>10397817.189999999</v>
      </c>
      <c r="G10" s="800">
        <f t="shared" si="1"/>
        <v>10397817.189999999</v>
      </c>
      <c r="H10" s="799"/>
      <c r="I10" s="801">
        <f>(G10-D10)/D10*100</f>
        <v>-7.5854796837125686</v>
      </c>
      <c r="J10" s="801">
        <f t="shared" si="2"/>
        <v>-7.5854796837125686</v>
      </c>
    </row>
    <row r="11" spans="1:12">
      <c r="A11" s="799" t="s">
        <v>510</v>
      </c>
      <c r="B11" s="800"/>
      <c r="C11" s="800">
        <v>-3004149</v>
      </c>
      <c r="D11" s="800">
        <f t="shared" si="0"/>
        <v>-3004149</v>
      </c>
      <c r="E11" s="800"/>
      <c r="F11" s="800">
        <f>ตาราง12!Q75</f>
        <v>966442.00000000012</v>
      </c>
      <c r="G11" s="800">
        <f t="shared" si="1"/>
        <v>966442.00000000012</v>
      </c>
      <c r="H11" s="799"/>
      <c r="I11" s="801">
        <f>(G11-D11)/D11*100</f>
        <v>-132.17024188880114</v>
      </c>
      <c r="J11" s="801">
        <f t="shared" si="2"/>
        <v>-132.17024188880114</v>
      </c>
    </row>
    <row r="12" spans="1:12">
      <c r="A12" s="802" t="s">
        <v>511</v>
      </c>
      <c r="B12" s="803"/>
      <c r="C12" s="803">
        <v>3987494</v>
      </c>
      <c r="D12" s="804">
        <f t="shared" si="0"/>
        <v>3987494</v>
      </c>
      <c r="E12" s="803"/>
      <c r="F12" s="803">
        <f>ตาราง12!R75</f>
        <v>14281.999999999995</v>
      </c>
      <c r="G12" s="804">
        <f t="shared" si="1"/>
        <v>14281.999999999995</v>
      </c>
      <c r="H12" s="802"/>
      <c r="I12" s="801">
        <f>(G12-D12)/D12*100</f>
        <v>-99.641830182064226</v>
      </c>
      <c r="J12" s="801">
        <f t="shared" si="2"/>
        <v>-99.641830182064226</v>
      </c>
    </row>
    <row r="13" spans="1:12" ht="24.75" thickBot="1">
      <c r="A13" s="805" t="s">
        <v>361</v>
      </c>
      <c r="B13" s="806">
        <f>SUM(B7:B12)</f>
        <v>144642059.69</v>
      </c>
      <c r="C13" s="806">
        <f t="shared" ref="C13:J13" si="3">SUM(C7:C12)</f>
        <v>148122118.90000001</v>
      </c>
      <c r="D13" s="806">
        <f t="shared" si="3"/>
        <v>292764178.58999997</v>
      </c>
      <c r="E13" s="806">
        <f t="shared" si="3"/>
        <v>118876189.05</v>
      </c>
      <c r="F13" s="806">
        <f t="shared" si="3"/>
        <v>166500508.19</v>
      </c>
      <c r="G13" s="806">
        <f t="shared" si="3"/>
        <v>285376697.24000001</v>
      </c>
      <c r="H13" s="806">
        <f t="shared" si="3"/>
        <v>-27.062029899375307</v>
      </c>
      <c r="I13" s="806">
        <f t="shared" si="3"/>
        <v>-225.24284665801636</v>
      </c>
      <c r="J13" s="806">
        <f t="shared" si="3"/>
        <v>-252.30487655739165</v>
      </c>
    </row>
    <row r="14" spans="1:12" ht="24.75" thickTop="1"/>
    <row r="15" spans="1:12">
      <c r="A15" s="792" t="s">
        <v>477</v>
      </c>
    </row>
    <row r="16" spans="1:12">
      <c r="A16" s="264" t="s">
        <v>1574</v>
      </c>
      <c r="L16" s="931">
        <f>(155121967-135887493.09)/135887493.09*100</f>
        <v>14.154705096561582</v>
      </c>
    </row>
    <row r="17" spans="1:1">
      <c r="A17" s="493" t="s">
        <v>1563</v>
      </c>
    </row>
    <row r="18" spans="1:1">
      <c r="A18" s="493" t="s">
        <v>1564</v>
      </c>
    </row>
    <row r="19" spans="1:1">
      <c r="A19" s="264" t="s">
        <v>1565</v>
      </c>
    </row>
    <row r="20" spans="1:1">
      <c r="A20" s="239" t="s">
        <v>1566</v>
      </c>
    </row>
    <row r="21" spans="1:1">
      <c r="A21" s="239"/>
    </row>
    <row r="22" spans="1:1">
      <c r="A22" s="239"/>
    </row>
    <row r="23" spans="1:1">
      <c r="A23" s="239"/>
    </row>
  </sheetData>
  <mergeCells count="5">
    <mergeCell ref="A1:J1"/>
    <mergeCell ref="A4:A6"/>
    <mergeCell ref="B4:D4"/>
    <mergeCell ref="E4:G4"/>
    <mergeCell ref="H4:J4"/>
  </mergeCells>
  <pageMargins left="0.35433070866141736" right="0.23622047244094491" top="0.47244094488188981" bottom="0.47244094488188981" header="0.31496062992125984" footer="0.31496062992125984"/>
  <pageSetup paperSize="9" scale="8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89"/>
  <sheetViews>
    <sheetView topLeftCell="A43" workbookViewId="0">
      <selection activeCell="C59" sqref="C59:E61"/>
    </sheetView>
  </sheetViews>
  <sheetFormatPr defaultRowHeight="18.75"/>
  <cols>
    <col min="1" max="1" width="31.140625" style="184" customWidth="1"/>
    <col min="2" max="2" width="6.28515625" style="185" customWidth="1"/>
    <col min="3" max="3" width="15.42578125" style="179" customWidth="1"/>
    <col min="4" max="4" width="11.28515625" style="179" bestFit="1" customWidth="1"/>
    <col min="5" max="5" width="10.7109375" style="179" bestFit="1" customWidth="1"/>
    <col min="6" max="6" width="12.28515625" style="186" customWidth="1"/>
    <col min="7" max="7" width="12.85546875" style="186" customWidth="1"/>
    <col min="8" max="8" width="10.85546875" style="186" customWidth="1"/>
    <col min="9" max="9" width="12.7109375" style="186" customWidth="1"/>
    <col min="10" max="10" width="8.7109375" style="187" customWidth="1"/>
    <col min="11" max="11" width="14.28515625" style="188" customWidth="1"/>
    <col min="12" max="12" width="12.28515625" style="129" bestFit="1" customWidth="1"/>
    <col min="13" max="16384" width="9.140625" style="129"/>
  </cols>
  <sheetData>
    <row r="1" spans="1:11">
      <c r="A1" s="1077" t="s">
        <v>296</v>
      </c>
      <c r="B1" s="1077"/>
      <c r="C1" s="1077"/>
      <c r="D1" s="1077"/>
      <c r="E1" s="1077"/>
      <c r="F1" s="1077"/>
      <c r="G1" s="1077"/>
      <c r="H1" s="1077"/>
      <c r="I1" s="1077"/>
      <c r="J1" s="1077"/>
      <c r="K1" s="1077"/>
    </row>
    <row r="2" spans="1:11">
      <c r="A2" s="1077" t="s">
        <v>464</v>
      </c>
      <c r="B2" s="1077"/>
      <c r="C2" s="1077"/>
      <c r="D2" s="1077"/>
      <c r="E2" s="1077"/>
      <c r="F2" s="1077"/>
      <c r="G2" s="1077"/>
      <c r="H2" s="1077"/>
      <c r="I2" s="1077"/>
      <c r="J2" s="1077"/>
      <c r="K2" s="1077"/>
    </row>
    <row r="3" spans="1:11">
      <c r="A3" s="1078" t="s">
        <v>213</v>
      </c>
      <c r="B3" s="140" t="s">
        <v>465</v>
      </c>
      <c r="C3" s="141" t="s">
        <v>7</v>
      </c>
      <c r="D3" s="141" t="s">
        <v>466</v>
      </c>
      <c r="E3" s="141" t="s">
        <v>467</v>
      </c>
      <c r="F3" s="142" t="s">
        <v>468</v>
      </c>
      <c r="G3" s="143" t="s">
        <v>15</v>
      </c>
      <c r="H3" s="143" t="s">
        <v>17</v>
      </c>
      <c r="I3" s="143" t="s">
        <v>303</v>
      </c>
      <c r="J3" s="144" t="s">
        <v>217</v>
      </c>
      <c r="K3" s="145" t="s">
        <v>1</v>
      </c>
    </row>
    <row r="4" spans="1:11" s="151" customFormat="1">
      <c r="A4" s="1078"/>
      <c r="B4" s="146"/>
      <c r="C4" s="147">
        <v>106161048.51000001</v>
      </c>
      <c r="D4" s="147">
        <v>379938</v>
      </c>
      <c r="E4" s="147">
        <v>477822</v>
      </c>
      <c r="F4" s="148">
        <v>2523295</v>
      </c>
      <c r="G4" s="149">
        <v>987283</v>
      </c>
      <c r="H4" s="149">
        <v>33500</v>
      </c>
      <c r="I4" s="149">
        <v>41215571.810000002</v>
      </c>
      <c r="J4" s="150">
        <v>1</v>
      </c>
      <c r="K4" s="149">
        <f>SUM(C4:J4)</f>
        <v>151778459.31999999</v>
      </c>
    </row>
    <row r="5" spans="1:11">
      <c r="A5" s="152" t="s">
        <v>226</v>
      </c>
      <c r="B5" s="153"/>
      <c r="C5" s="154"/>
      <c r="D5" s="154"/>
      <c r="E5" s="154"/>
      <c r="F5" s="155"/>
      <c r="G5" s="156"/>
      <c r="H5" s="156"/>
      <c r="I5" s="156"/>
      <c r="J5" s="157"/>
      <c r="K5" s="158"/>
    </row>
    <row r="6" spans="1:11">
      <c r="A6" s="159" t="s">
        <v>312</v>
      </c>
      <c r="B6" s="160">
        <v>1</v>
      </c>
      <c r="C6" s="161">
        <f>130000+120000+8000+1088460</f>
        <v>1346460</v>
      </c>
      <c r="D6" s="161">
        <v>7634.45</v>
      </c>
      <c r="E6" s="161">
        <v>6281.06</v>
      </c>
      <c r="F6" s="162">
        <f t="shared" ref="F6:F33" si="0">$F$4*B6/$B$57</f>
        <v>7292.7601156069368</v>
      </c>
      <c r="G6" s="163">
        <f t="shared" ref="G6:G33" si="1">$G$4*B6/$B$57</f>
        <v>2853.4190751445085</v>
      </c>
      <c r="H6" s="163">
        <f t="shared" ref="H6:H33" si="2">$H$4*B6/$B$57</f>
        <v>96.820809248554909</v>
      </c>
      <c r="I6" s="163">
        <f t="shared" ref="I6:I33" si="3">$I$4*B6/$B$57</f>
        <v>119120.14973988439</v>
      </c>
      <c r="J6" s="164">
        <f t="shared" ref="J6:J37" si="4">$J$4*B6/$B$57</f>
        <v>2.8901734104046241E-3</v>
      </c>
      <c r="K6" s="163">
        <f>SUM(C6:J6)</f>
        <v>1489738.6626300577</v>
      </c>
    </row>
    <row r="7" spans="1:11">
      <c r="A7" s="159" t="s">
        <v>313</v>
      </c>
      <c r="B7" s="160">
        <f>2+1</f>
        <v>3</v>
      </c>
      <c r="C7" s="161">
        <f>130000+120000+120000+2400+932520+386680</f>
        <v>1691600</v>
      </c>
      <c r="D7" s="161">
        <v>7634.45</v>
      </c>
      <c r="E7" s="161">
        <v>6281.06</v>
      </c>
      <c r="F7" s="162">
        <f t="shared" si="0"/>
        <v>21878.280346820808</v>
      </c>
      <c r="G7" s="163">
        <f t="shared" si="1"/>
        <v>8560.2572254335264</v>
      </c>
      <c r="H7" s="163">
        <f t="shared" si="2"/>
        <v>290.46242774566474</v>
      </c>
      <c r="I7" s="163">
        <f t="shared" si="3"/>
        <v>357360.44921965321</v>
      </c>
      <c r="J7" s="164">
        <f t="shared" si="4"/>
        <v>8.670520231213872E-3</v>
      </c>
      <c r="K7" s="163">
        <f t="shared" ref="K7:K55" si="5">SUM(C7:J7)</f>
        <v>2093604.9678901734</v>
      </c>
    </row>
    <row r="8" spans="1:11">
      <c r="A8" s="159" t="s">
        <v>314</v>
      </c>
      <c r="B8" s="160">
        <v>1</v>
      </c>
      <c r="C8" s="161">
        <f>130000+120000+1149475.68</f>
        <v>1399475.68</v>
      </c>
      <c r="D8" s="161">
        <v>7634.45</v>
      </c>
      <c r="E8" s="161">
        <v>6281.06</v>
      </c>
      <c r="F8" s="162">
        <f t="shared" si="0"/>
        <v>7292.7601156069368</v>
      </c>
      <c r="G8" s="163">
        <f t="shared" si="1"/>
        <v>2853.4190751445085</v>
      </c>
      <c r="H8" s="163">
        <f t="shared" si="2"/>
        <v>96.820809248554909</v>
      </c>
      <c r="I8" s="163">
        <f t="shared" si="3"/>
        <v>119120.14973988439</v>
      </c>
      <c r="J8" s="164">
        <f t="shared" si="4"/>
        <v>2.8901734104046241E-3</v>
      </c>
      <c r="K8" s="163">
        <f t="shared" si="5"/>
        <v>1542754.3426300576</v>
      </c>
    </row>
    <row r="9" spans="1:11">
      <c r="A9" s="159" t="s">
        <v>315</v>
      </c>
      <c r="B9" s="160">
        <f>3+1+1</f>
        <v>5</v>
      </c>
      <c r="C9" s="161">
        <f>130000+110000+130000+120000+120000+120000+120000+8800+762740+497100+563350+412110+326030</f>
        <v>3420130</v>
      </c>
      <c r="D9" s="161">
        <v>7634.45</v>
      </c>
      <c r="E9" s="161">
        <v>6281.06</v>
      </c>
      <c r="F9" s="162">
        <f t="shared" si="0"/>
        <v>36463.800578034679</v>
      </c>
      <c r="G9" s="163">
        <f t="shared" si="1"/>
        <v>14267.095375722543</v>
      </c>
      <c r="H9" s="163">
        <f t="shared" si="2"/>
        <v>484.10404624277459</v>
      </c>
      <c r="I9" s="163">
        <f t="shared" si="3"/>
        <v>595600.74869942199</v>
      </c>
      <c r="J9" s="164">
        <f t="shared" si="4"/>
        <v>1.4450867052023121E-2</v>
      </c>
      <c r="K9" s="163">
        <f t="shared" si="5"/>
        <v>4080861.2731502894</v>
      </c>
    </row>
    <row r="10" spans="1:11">
      <c r="A10" s="159" t="s">
        <v>316</v>
      </c>
      <c r="B10" s="160">
        <v>3</v>
      </c>
      <c r="C10" s="161">
        <f>130000+130000+130000+120000+120000+120000+32777.45+973662.72+372520+939720</f>
        <v>3068680.17</v>
      </c>
      <c r="D10" s="161">
        <v>7634.45</v>
      </c>
      <c r="E10" s="161">
        <v>6281.06</v>
      </c>
      <c r="F10" s="162">
        <f t="shared" si="0"/>
        <v>21878.280346820808</v>
      </c>
      <c r="G10" s="163">
        <f t="shared" si="1"/>
        <v>8560.2572254335264</v>
      </c>
      <c r="H10" s="163">
        <f t="shared" si="2"/>
        <v>290.46242774566474</v>
      </c>
      <c r="I10" s="163">
        <f t="shared" si="3"/>
        <v>357360.44921965321</v>
      </c>
      <c r="J10" s="164">
        <f t="shared" si="4"/>
        <v>8.670520231213872E-3</v>
      </c>
      <c r="K10" s="163">
        <f t="shared" si="5"/>
        <v>3470685.1378901731</v>
      </c>
    </row>
    <row r="11" spans="1:11">
      <c r="A11" s="159" t="s">
        <v>317</v>
      </c>
      <c r="B11" s="160">
        <v>0</v>
      </c>
      <c r="C11" s="161"/>
      <c r="D11" s="161"/>
      <c r="E11" s="161"/>
      <c r="F11" s="162">
        <f t="shared" si="0"/>
        <v>0</v>
      </c>
      <c r="G11" s="163">
        <f t="shared" si="1"/>
        <v>0</v>
      </c>
      <c r="H11" s="163">
        <f t="shared" si="2"/>
        <v>0</v>
      </c>
      <c r="I11" s="163">
        <f t="shared" si="3"/>
        <v>0</v>
      </c>
      <c r="J11" s="164">
        <f t="shared" si="4"/>
        <v>0</v>
      </c>
      <c r="K11" s="163">
        <f t="shared" si="5"/>
        <v>0</v>
      </c>
    </row>
    <row r="12" spans="1:11">
      <c r="A12" s="159" t="s">
        <v>318</v>
      </c>
      <c r="B12" s="160">
        <v>25</v>
      </c>
      <c r="C12" s="161">
        <f>130000+130000+130000+120000+120000+120000+110000+204000+16500+4400+4800+35500+17000+3250+250+914520+1127937.84+546030+371090+848160+368050+382670+380210+412370+554940+552900+443550+449070+517020+424590+359490+378910+405650+406020-2000000</f>
        <v>8988877.8399999999</v>
      </c>
      <c r="D12" s="161">
        <v>7634.45</v>
      </c>
      <c r="E12" s="161">
        <f>8500+6281.06</f>
        <v>14781.060000000001</v>
      </c>
      <c r="F12" s="162">
        <f t="shared" si="0"/>
        <v>182319.0028901734</v>
      </c>
      <c r="G12" s="163">
        <f t="shared" si="1"/>
        <v>71335.47687861271</v>
      </c>
      <c r="H12" s="163">
        <f t="shared" si="2"/>
        <v>2420.5202312138726</v>
      </c>
      <c r="I12" s="163">
        <f t="shared" si="3"/>
        <v>2978003.74349711</v>
      </c>
      <c r="J12" s="164">
        <f t="shared" si="4"/>
        <v>7.2254335260115612E-2</v>
      </c>
      <c r="K12" s="163">
        <f t="shared" si="5"/>
        <v>12245372.165751444</v>
      </c>
    </row>
    <row r="13" spans="1:11">
      <c r="A13" s="159" t="s">
        <v>319</v>
      </c>
      <c r="B13" s="160">
        <v>13</v>
      </c>
      <c r="C13" s="161">
        <f>130000+120000+80000+1463+6240+27000+500+1940+60+1158062.4+402830+695400+491580+366430+264890+372780+366060</f>
        <v>4485235.4000000004</v>
      </c>
      <c r="D13" s="161">
        <f>5850+7634.45</f>
        <v>13484.45</v>
      </c>
      <c r="E13" s="161">
        <v>6281.06</v>
      </c>
      <c r="F13" s="162">
        <f t="shared" si="0"/>
        <v>94805.881502890174</v>
      </c>
      <c r="G13" s="163">
        <f t="shared" si="1"/>
        <v>37094.447976878611</v>
      </c>
      <c r="H13" s="163">
        <f t="shared" si="2"/>
        <v>1258.6705202312139</v>
      </c>
      <c r="I13" s="163">
        <f t="shared" si="3"/>
        <v>1548561.9466184971</v>
      </c>
      <c r="J13" s="164">
        <f t="shared" si="4"/>
        <v>3.7572254335260118E-2</v>
      </c>
      <c r="K13" s="163">
        <f t="shared" si="5"/>
        <v>6186721.8941907519</v>
      </c>
    </row>
    <row r="14" spans="1:11">
      <c r="A14" s="159" t="s">
        <v>320</v>
      </c>
      <c r="B14" s="160">
        <v>9</v>
      </c>
      <c r="C14" s="161">
        <f>130000+288000+120000+22500+2500+885060+592470+584040+392760+731579.36+506100+412370+171580+417506.4</f>
        <v>5256465.76</v>
      </c>
      <c r="D14" s="161">
        <v>7634.45</v>
      </c>
      <c r="E14" s="161">
        <v>6281.06</v>
      </c>
      <c r="F14" s="162">
        <f t="shared" si="0"/>
        <v>65634.84104046243</v>
      </c>
      <c r="G14" s="163">
        <f t="shared" si="1"/>
        <v>25680.771676300577</v>
      </c>
      <c r="H14" s="163">
        <f t="shared" si="2"/>
        <v>871.38728323699422</v>
      </c>
      <c r="I14" s="163">
        <f t="shared" si="3"/>
        <v>1072081.3476589597</v>
      </c>
      <c r="J14" s="164">
        <f t="shared" si="4"/>
        <v>2.6011560693641619E-2</v>
      </c>
      <c r="K14" s="163">
        <f t="shared" si="5"/>
        <v>6434649.6436705207</v>
      </c>
    </row>
    <row r="15" spans="1:11">
      <c r="A15" s="159" t="s">
        <v>1486</v>
      </c>
      <c r="B15" s="160">
        <f>5+1</f>
        <v>6</v>
      </c>
      <c r="C15" s="161">
        <f>8100+8100+357420+366860</f>
        <v>740480</v>
      </c>
      <c r="D15" s="161">
        <v>7634.45</v>
      </c>
      <c r="E15" s="161">
        <v>6281.06</v>
      </c>
      <c r="F15" s="162">
        <f t="shared" si="0"/>
        <v>43756.560693641615</v>
      </c>
      <c r="G15" s="163">
        <f t="shared" si="1"/>
        <v>17120.514450867053</v>
      </c>
      <c r="H15" s="163">
        <f t="shared" si="2"/>
        <v>580.92485549132948</v>
      </c>
      <c r="I15" s="163">
        <f t="shared" si="3"/>
        <v>714720.89843930642</v>
      </c>
      <c r="J15" s="164">
        <f t="shared" si="4"/>
        <v>1.7341040462427744E-2</v>
      </c>
      <c r="K15" s="163">
        <f t="shared" si="5"/>
        <v>1530574.4257803471</v>
      </c>
    </row>
    <row r="16" spans="1:11">
      <c r="A16" s="159" t="s">
        <v>322</v>
      </c>
      <c r="B16" s="160">
        <v>4</v>
      </c>
      <c r="C16" s="161">
        <f>12000+12500+382770</f>
        <v>407270</v>
      </c>
      <c r="D16" s="161">
        <v>7634.45</v>
      </c>
      <c r="E16" s="161">
        <f>12500+6281.06</f>
        <v>18781.060000000001</v>
      </c>
      <c r="F16" s="162">
        <f t="shared" si="0"/>
        <v>29171.040462427747</v>
      </c>
      <c r="G16" s="163">
        <f t="shared" si="1"/>
        <v>11413.676300578034</v>
      </c>
      <c r="H16" s="163">
        <f t="shared" si="2"/>
        <v>387.28323699421964</v>
      </c>
      <c r="I16" s="163">
        <f t="shared" si="3"/>
        <v>476480.59895953757</v>
      </c>
      <c r="J16" s="164">
        <f t="shared" si="4"/>
        <v>1.1560693641618497E-2</v>
      </c>
      <c r="K16" s="163">
        <f t="shared" si="5"/>
        <v>951138.12052023131</v>
      </c>
    </row>
    <row r="17" spans="1:12">
      <c r="A17" s="159" t="s">
        <v>250</v>
      </c>
      <c r="B17" s="160">
        <v>5</v>
      </c>
      <c r="C17" s="161">
        <f>8056+8156+13545+6805+90000+59677.42+420+596190+270720+168230+176370</f>
        <v>1398169.42</v>
      </c>
      <c r="D17" s="161">
        <v>7634.45</v>
      </c>
      <c r="E17" s="161">
        <v>6281.06</v>
      </c>
      <c r="F17" s="162">
        <f t="shared" si="0"/>
        <v>36463.800578034679</v>
      </c>
      <c r="G17" s="163">
        <f t="shared" si="1"/>
        <v>14267.095375722543</v>
      </c>
      <c r="H17" s="163">
        <f t="shared" si="2"/>
        <v>484.10404624277459</v>
      </c>
      <c r="I17" s="163">
        <f t="shared" si="3"/>
        <v>595600.74869942199</v>
      </c>
      <c r="J17" s="164">
        <f t="shared" si="4"/>
        <v>1.4450867052023121E-2</v>
      </c>
      <c r="K17" s="163">
        <f t="shared" si="5"/>
        <v>2058900.6931502889</v>
      </c>
    </row>
    <row r="18" spans="1:12">
      <c r="A18" s="159" t="s">
        <v>323</v>
      </c>
      <c r="B18" s="160">
        <v>22</v>
      </c>
      <c r="C18" s="161">
        <f>65000+65000+65000+55000+65000+65000+65000+65000+234000+5800+11586+950880+719760+634560+593100+435250+428240+503640+371870+321830+346020+392700</f>
        <v>6459236</v>
      </c>
      <c r="D18" s="161">
        <v>7634.45</v>
      </c>
      <c r="E18" s="161">
        <v>6281.06</v>
      </c>
      <c r="F18" s="162">
        <f t="shared" si="0"/>
        <v>160440.7225433526</v>
      </c>
      <c r="G18" s="163">
        <f t="shared" si="1"/>
        <v>62775.219653179192</v>
      </c>
      <c r="H18" s="163">
        <f t="shared" si="2"/>
        <v>2130.057803468208</v>
      </c>
      <c r="I18" s="163">
        <f t="shared" si="3"/>
        <v>2620643.2942774566</v>
      </c>
      <c r="J18" s="164">
        <f t="shared" si="4"/>
        <v>6.358381502890173E-2</v>
      </c>
      <c r="K18" s="163">
        <f t="shared" si="5"/>
        <v>9319140.8678612709</v>
      </c>
    </row>
    <row r="19" spans="1:12">
      <c r="A19" s="159" t="s">
        <v>324</v>
      </c>
      <c r="B19" s="160">
        <v>2</v>
      </c>
      <c r="C19" s="161">
        <f>594487</f>
        <v>594487</v>
      </c>
      <c r="D19" s="161">
        <v>7634.45</v>
      </c>
      <c r="E19" s="161">
        <v>6281.06</v>
      </c>
      <c r="F19" s="162">
        <f t="shared" si="0"/>
        <v>14585.520231213874</v>
      </c>
      <c r="G19" s="163">
        <f t="shared" si="1"/>
        <v>5706.838150289017</v>
      </c>
      <c r="H19" s="163">
        <f t="shared" si="2"/>
        <v>193.64161849710982</v>
      </c>
      <c r="I19" s="163">
        <f t="shared" si="3"/>
        <v>238240.29947976879</v>
      </c>
      <c r="J19" s="164">
        <f t="shared" si="4"/>
        <v>5.7803468208092483E-3</v>
      </c>
      <c r="K19" s="163">
        <f t="shared" si="5"/>
        <v>867128.81526011566</v>
      </c>
    </row>
    <row r="20" spans="1:12">
      <c r="A20" s="159" t="s">
        <v>259</v>
      </c>
      <c r="B20" s="160">
        <v>4</v>
      </c>
      <c r="C20" s="161">
        <f>12000+518100</f>
        <v>530100</v>
      </c>
      <c r="D20" s="161">
        <v>7634.45</v>
      </c>
      <c r="E20" s="161">
        <v>6281.06</v>
      </c>
      <c r="F20" s="162">
        <f t="shared" si="0"/>
        <v>29171.040462427747</v>
      </c>
      <c r="G20" s="163">
        <f t="shared" si="1"/>
        <v>11413.676300578034</v>
      </c>
      <c r="H20" s="163">
        <f t="shared" si="2"/>
        <v>387.28323699421964</v>
      </c>
      <c r="I20" s="163">
        <f t="shared" si="3"/>
        <v>476480.59895953757</v>
      </c>
      <c r="J20" s="164">
        <f t="shared" si="4"/>
        <v>1.1560693641618497E-2</v>
      </c>
      <c r="K20" s="163">
        <f t="shared" si="5"/>
        <v>1061468.1205202311</v>
      </c>
    </row>
    <row r="21" spans="1:12">
      <c r="A21" s="159" t="s">
        <v>262</v>
      </c>
      <c r="B21" s="160">
        <f>10+1</f>
        <v>11</v>
      </c>
      <c r="C21" s="161">
        <f>80000+4000+9650+6400+42080+535260+355450+439950+436710+528000+407846.13+424230</f>
        <v>3269576.13</v>
      </c>
      <c r="D21" s="161">
        <v>7634.45</v>
      </c>
      <c r="E21" s="161">
        <v>6281.06</v>
      </c>
      <c r="F21" s="162">
        <f t="shared" si="0"/>
        <v>80220.361271676302</v>
      </c>
      <c r="G21" s="163">
        <f t="shared" si="1"/>
        <v>31387.609826589596</v>
      </c>
      <c r="H21" s="163">
        <f t="shared" si="2"/>
        <v>1065.028901734104</v>
      </c>
      <c r="I21" s="163">
        <f t="shared" si="3"/>
        <v>1310321.6471387283</v>
      </c>
      <c r="J21" s="164">
        <f t="shared" si="4"/>
        <v>3.1791907514450865E-2</v>
      </c>
      <c r="K21" s="163">
        <f t="shared" si="5"/>
        <v>4706486.3189306362</v>
      </c>
    </row>
    <row r="22" spans="1:12">
      <c r="A22" s="165" t="s">
        <v>325</v>
      </c>
      <c r="B22" s="160">
        <v>31</v>
      </c>
      <c r="C22" s="161">
        <f>22500+48000+24000+12000+44000+12000+22000+10031.19+12000+84985+7640+8000+19370+250+612001.28+611940+566220+536580+593100+460090+434310+432870+422910+169700+296730+603300+860519.36+353870+408350</f>
        <v>7689266.8300000001</v>
      </c>
      <c r="D22" s="161">
        <v>7634.45</v>
      </c>
      <c r="E22" s="161">
        <v>6281.06</v>
      </c>
      <c r="F22" s="162">
        <f t="shared" si="0"/>
        <v>226075.56358381503</v>
      </c>
      <c r="G22" s="163">
        <f t="shared" si="1"/>
        <v>88455.991329479773</v>
      </c>
      <c r="H22" s="163">
        <f t="shared" si="2"/>
        <v>3001.4450867052024</v>
      </c>
      <c r="I22" s="163">
        <f t="shared" si="3"/>
        <v>3692724.6419364167</v>
      </c>
      <c r="J22" s="164">
        <f t="shared" si="4"/>
        <v>8.9595375722543349E-2</v>
      </c>
      <c r="K22" s="163">
        <f t="shared" si="5"/>
        <v>11713440.071531793</v>
      </c>
    </row>
    <row r="23" spans="1:12">
      <c r="A23" s="165" t="s">
        <v>326</v>
      </c>
      <c r="B23" s="160">
        <f>29+12+1+1</f>
        <v>43</v>
      </c>
      <c r="C23" s="161">
        <f>1440+14760+9000+14400+15840+9720+15480+7920+9360+15840+11160+15480+11880+1800+11520+5760+11040+8640+7920+8183+8155+7666+8049+1600+23850+9445+298046.77+76000+216046.77+12500+4000+6600+7650+8800+10400+9830+953+153273.3+16000+2700+2250+703979.36+612370+459490+418130+452400+420680+410450+415440+424410+399890+345210+386950+333690+339170+868440+602820+570660+733262.59+414350+205020+330310+347130+818280+195660+183970+171580+148760-1559498.53</f>
        <v>11243961.26</v>
      </c>
      <c r="D23" s="161">
        <v>7634.45</v>
      </c>
      <c r="E23" s="161">
        <v>6281.06</v>
      </c>
      <c r="F23" s="162">
        <f t="shared" si="0"/>
        <v>313588.68497109826</v>
      </c>
      <c r="G23" s="163">
        <f t="shared" si="1"/>
        <v>122697.02023121387</v>
      </c>
      <c r="H23" s="163">
        <f t="shared" si="2"/>
        <v>4163.2947976878613</v>
      </c>
      <c r="I23" s="163">
        <f t="shared" si="3"/>
        <v>5122166.4388150293</v>
      </c>
      <c r="J23" s="164">
        <f t="shared" si="4"/>
        <v>0.12427745664739884</v>
      </c>
      <c r="K23" s="163">
        <f t="shared" si="5"/>
        <v>16820492.333092488</v>
      </c>
    </row>
    <row r="24" spans="1:12">
      <c r="A24" s="165" t="s">
        <v>327</v>
      </c>
      <c r="B24" s="160">
        <f>5</f>
        <v>5</v>
      </c>
      <c r="C24" s="161">
        <f>47534.41+22500+25000+2100+250+1107005.86+788990.32+941640+978250.56+971511.36</f>
        <v>4884782.51</v>
      </c>
      <c r="D24" s="161">
        <v>7634.45</v>
      </c>
      <c r="E24" s="161">
        <f>480+6281.06</f>
        <v>6761.06</v>
      </c>
      <c r="F24" s="162">
        <f t="shared" si="0"/>
        <v>36463.800578034679</v>
      </c>
      <c r="G24" s="163">
        <f t="shared" si="1"/>
        <v>14267.095375722543</v>
      </c>
      <c r="H24" s="163">
        <f t="shared" si="2"/>
        <v>484.10404624277459</v>
      </c>
      <c r="I24" s="163">
        <f t="shared" si="3"/>
        <v>595600.74869942199</v>
      </c>
      <c r="J24" s="164">
        <f t="shared" si="4"/>
        <v>1.4450867052023121E-2</v>
      </c>
      <c r="K24" s="163">
        <f t="shared" si="5"/>
        <v>5545993.7831502873</v>
      </c>
    </row>
    <row r="25" spans="1:12" ht="18.75" customHeight="1">
      <c r="A25" s="165" t="s">
        <v>328</v>
      </c>
      <c r="B25" s="160">
        <v>1</v>
      </c>
      <c r="C25" s="161">
        <v>18000</v>
      </c>
      <c r="D25" s="161">
        <v>7634.45</v>
      </c>
      <c r="E25" s="161">
        <v>6281.06</v>
      </c>
      <c r="F25" s="162">
        <f t="shared" si="0"/>
        <v>7292.7601156069368</v>
      </c>
      <c r="G25" s="163">
        <f t="shared" si="1"/>
        <v>2853.4190751445085</v>
      </c>
      <c r="H25" s="163">
        <f t="shared" si="2"/>
        <v>96.820809248554909</v>
      </c>
      <c r="I25" s="163">
        <f t="shared" si="3"/>
        <v>119120.14973988439</v>
      </c>
      <c r="J25" s="164">
        <f t="shared" si="4"/>
        <v>2.8901734104046241E-3</v>
      </c>
      <c r="K25" s="163">
        <f t="shared" si="5"/>
        <v>161278.66263005781</v>
      </c>
    </row>
    <row r="26" spans="1:12" ht="18.75" customHeight="1">
      <c r="A26" s="165" t="s">
        <v>329</v>
      </c>
      <c r="B26" s="160">
        <v>10</v>
      </c>
      <c r="C26" s="161">
        <f>10080+11520+8640+11880+14040+11160+12960+11880+6840+7920+24000+118500+20600+4200+2000+12900+9700+16500+1250+25380+690779.36+577020+603660+546660+588060+400490+403610+913320</f>
        <v>5065549.3599999994</v>
      </c>
      <c r="D26" s="161">
        <v>7634.45</v>
      </c>
      <c r="E26" s="161">
        <v>6281.06</v>
      </c>
      <c r="F26" s="162">
        <f t="shared" si="0"/>
        <v>72927.601156069359</v>
      </c>
      <c r="G26" s="163">
        <f t="shared" si="1"/>
        <v>28534.190751445087</v>
      </c>
      <c r="H26" s="163">
        <f t="shared" si="2"/>
        <v>968.20809248554917</v>
      </c>
      <c r="I26" s="163">
        <f t="shared" si="3"/>
        <v>1191201.497398844</v>
      </c>
      <c r="J26" s="164">
        <f t="shared" si="4"/>
        <v>2.8901734104046242E-2</v>
      </c>
      <c r="K26" s="163">
        <f t="shared" si="5"/>
        <v>6373096.3963005776</v>
      </c>
    </row>
    <row r="27" spans="1:12">
      <c r="A27" s="165" t="s">
        <v>330</v>
      </c>
      <c r="B27" s="160">
        <v>16</v>
      </c>
      <c r="C27" s="161">
        <f>8049+9445+17500+22500+103500+67390.32+4800+4500+2400+8700+29800+8700+21730+3072+7500+610+330+120418.28+1000+768606.67+755809.2+637260+627300+548220+566100+449790+336930+348810</f>
        <v>5480770.4699999997</v>
      </c>
      <c r="D27" s="161">
        <v>7634.45</v>
      </c>
      <c r="E27" s="161">
        <f>4800+6281.06</f>
        <v>11081.060000000001</v>
      </c>
      <c r="F27" s="162">
        <f t="shared" si="0"/>
        <v>116684.16184971099</v>
      </c>
      <c r="G27" s="163">
        <f t="shared" si="1"/>
        <v>45654.705202312136</v>
      </c>
      <c r="H27" s="163">
        <f t="shared" si="2"/>
        <v>1549.1329479768785</v>
      </c>
      <c r="I27" s="163">
        <f t="shared" si="3"/>
        <v>1905922.3958381503</v>
      </c>
      <c r="J27" s="164">
        <f t="shared" si="4"/>
        <v>4.6242774566473986E-2</v>
      </c>
      <c r="K27" s="163">
        <f t="shared" si="5"/>
        <v>7569296.4220809238</v>
      </c>
    </row>
    <row r="28" spans="1:12">
      <c r="A28" s="165" t="s">
        <v>331</v>
      </c>
      <c r="B28" s="160">
        <v>6</v>
      </c>
      <c r="C28" s="161">
        <f>8246+24000+1070+2160+913680+401090+402230+388150+389050+189270</f>
        <v>2718946</v>
      </c>
      <c r="D28" s="161">
        <v>7634.45</v>
      </c>
      <c r="E28" s="161">
        <v>6281.06</v>
      </c>
      <c r="F28" s="162">
        <f t="shared" si="0"/>
        <v>43756.560693641615</v>
      </c>
      <c r="G28" s="163">
        <f t="shared" si="1"/>
        <v>17120.514450867053</v>
      </c>
      <c r="H28" s="163">
        <f t="shared" si="2"/>
        <v>580.92485549132948</v>
      </c>
      <c r="I28" s="163">
        <f t="shared" si="3"/>
        <v>714720.89843930642</v>
      </c>
      <c r="J28" s="164">
        <f t="shared" si="4"/>
        <v>1.7341040462427744E-2</v>
      </c>
      <c r="K28" s="163">
        <f t="shared" si="5"/>
        <v>3509040.4257803471</v>
      </c>
    </row>
    <row r="29" spans="1:12">
      <c r="A29" s="165" t="s">
        <v>278</v>
      </c>
      <c r="B29" s="160">
        <f>6+1</f>
        <v>7</v>
      </c>
      <c r="C29" s="161">
        <f>14500+22500+18000+9850+12500+453830+755809.2+510060+777090.32+753346.66</f>
        <v>3327486.18</v>
      </c>
      <c r="D29" s="161">
        <v>7634.45</v>
      </c>
      <c r="E29" s="161">
        <v>6281.06</v>
      </c>
      <c r="F29" s="162">
        <f t="shared" si="0"/>
        <v>51049.320809248558</v>
      </c>
      <c r="G29" s="163">
        <f t="shared" si="1"/>
        <v>19973.933526011562</v>
      </c>
      <c r="H29" s="163">
        <f t="shared" si="2"/>
        <v>677.74566473988443</v>
      </c>
      <c r="I29" s="163">
        <f t="shared" si="3"/>
        <v>833841.04817919084</v>
      </c>
      <c r="J29" s="164">
        <f t="shared" si="4"/>
        <v>2.023121387283237E-2</v>
      </c>
      <c r="K29" s="163">
        <f t="shared" si="5"/>
        <v>4246943.7584104044</v>
      </c>
    </row>
    <row r="30" spans="1:12">
      <c r="A30" s="165" t="s">
        <v>332</v>
      </c>
      <c r="B30" s="160">
        <v>8</v>
      </c>
      <c r="C30" s="161">
        <f>7810+20435+25500+194698.39+4800+14900+25400+13800+11100+13510+4070+775926.67+570900+587220+561780+510540+266750+158180</f>
        <v>3767320.06</v>
      </c>
      <c r="D30" s="161">
        <v>7634.45</v>
      </c>
      <c r="E30" s="161">
        <v>6281.06</v>
      </c>
      <c r="F30" s="162">
        <f t="shared" si="0"/>
        <v>58342.080924855494</v>
      </c>
      <c r="G30" s="163">
        <f t="shared" si="1"/>
        <v>22827.352601156068</v>
      </c>
      <c r="H30" s="163">
        <f t="shared" si="2"/>
        <v>774.56647398843927</v>
      </c>
      <c r="I30" s="163">
        <f t="shared" si="3"/>
        <v>952961.19791907514</v>
      </c>
      <c r="J30" s="164">
        <f t="shared" si="4"/>
        <v>2.3121387283236993E-2</v>
      </c>
      <c r="K30" s="163">
        <f t="shared" si="5"/>
        <v>4816140.7910404634</v>
      </c>
    </row>
    <row r="31" spans="1:12">
      <c r="A31" s="165" t="s">
        <v>282</v>
      </c>
      <c r="B31" s="160">
        <v>2</v>
      </c>
      <c r="C31" s="161">
        <f>72900</f>
        <v>72900</v>
      </c>
      <c r="D31" s="161">
        <v>7634.45</v>
      </c>
      <c r="E31" s="161">
        <v>6281.06</v>
      </c>
      <c r="F31" s="162">
        <f t="shared" si="0"/>
        <v>14585.520231213874</v>
      </c>
      <c r="G31" s="163">
        <f t="shared" si="1"/>
        <v>5706.838150289017</v>
      </c>
      <c r="H31" s="163">
        <f t="shared" si="2"/>
        <v>193.64161849710982</v>
      </c>
      <c r="I31" s="163">
        <f t="shared" si="3"/>
        <v>238240.29947976879</v>
      </c>
      <c r="J31" s="164">
        <f t="shared" si="4"/>
        <v>5.7803468208092483E-3</v>
      </c>
      <c r="K31" s="163">
        <f t="shared" si="5"/>
        <v>345541.8152601156</v>
      </c>
    </row>
    <row r="32" spans="1:12" ht="22.5" customHeight="1">
      <c r="A32" s="159" t="s">
        <v>333</v>
      </c>
      <c r="B32" s="160">
        <v>10</v>
      </c>
      <c r="C32" s="161">
        <f>240000+4500+9300+16695.5+7750+450+11000+500+5000+905+16000+789109.68+655620+612660+530150+617580+426630+353730</f>
        <v>4297580.18</v>
      </c>
      <c r="D32" s="161">
        <v>7634.45</v>
      </c>
      <c r="E32" s="161">
        <v>6281.06</v>
      </c>
      <c r="F32" s="162">
        <f t="shared" si="0"/>
        <v>72927.601156069359</v>
      </c>
      <c r="G32" s="163">
        <f t="shared" si="1"/>
        <v>28534.190751445087</v>
      </c>
      <c r="H32" s="163">
        <f t="shared" si="2"/>
        <v>968.20809248554917</v>
      </c>
      <c r="I32" s="163">
        <f t="shared" si="3"/>
        <v>1191201.497398844</v>
      </c>
      <c r="J32" s="164">
        <f t="shared" si="4"/>
        <v>2.8901734104046242E-2</v>
      </c>
      <c r="K32" s="163">
        <f t="shared" si="5"/>
        <v>5605127.2163005779</v>
      </c>
      <c r="L32" s="166">
        <f>SUM(B6:B32)</f>
        <v>253</v>
      </c>
    </row>
    <row r="33" spans="1:11" ht="22.5" customHeight="1">
      <c r="A33" s="159" t="s">
        <v>1546</v>
      </c>
      <c r="B33" s="160">
        <v>1</v>
      </c>
      <c r="C33" s="161"/>
      <c r="D33" s="161">
        <v>7634.45</v>
      </c>
      <c r="E33" s="161">
        <v>6281.06</v>
      </c>
      <c r="F33" s="162">
        <f t="shared" si="0"/>
        <v>7292.7601156069368</v>
      </c>
      <c r="G33" s="163">
        <f t="shared" si="1"/>
        <v>2853.4190751445085</v>
      </c>
      <c r="H33" s="163">
        <f t="shared" si="2"/>
        <v>96.820809248554909</v>
      </c>
      <c r="I33" s="163">
        <f t="shared" si="3"/>
        <v>119120.14973988439</v>
      </c>
      <c r="J33" s="164">
        <f t="shared" si="4"/>
        <v>2.8901734104046241E-3</v>
      </c>
      <c r="K33" s="163">
        <f t="shared" si="5"/>
        <v>143278.66263005781</v>
      </c>
    </row>
    <row r="34" spans="1:11">
      <c r="A34" s="167" t="s">
        <v>288</v>
      </c>
      <c r="B34" s="160"/>
      <c r="C34" s="161"/>
      <c r="D34" s="161"/>
      <c r="E34" s="161"/>
      <c r="F34" s="162"/>
      <c r="G34" s="163"/>
      <c r="H34" s="163"/>
      <c r="I34" s="163"/>
      <c r="J34" s="164">
        <f t="shared" si="4"/>
        <v>0</v>
      </c>
      <c r="K34" s="163"/>
    </row>
    <row r="35" spans="1:11">
      <c r="A35" s="159" t="s">
        <v>334</v>
      </c>
      <c r="B35" s="160">
        <v>1</v>
      </c>
      <c r="C35" s="161">
        <f>120000+13600+1093200</f>
        <v>1226800</v>
      </c>
      <c r="D35" s="161">
        <v>7634.45</v>
      </c>
      <c r="E35" s="161">
        <v>6281.06</v>
      </c>
      <c r="F35" s="162">
        <f t="shared" ref="F35:F56" si="6">$F$4*B35/$B$57</f>
        <v>7292.7601156069368</v>
      </c>
      <c r="G35" s="163">
        <f t="shared" ref="G35:G56" si="7">$G$4*B35/$B$57</f>
        <v>2853.4190751445085</v>
      </c>
      <c r="H35" s="163">
        <f t="shared" ref="H35:H56" si="8">$H$4*B35/$B$57</f>
        <v>96.820809248554909</v>
      </c>
      <c r="I35" s="163">
        <f t="shared" ref="I35:I56" si="9">$I$4*B35/$B$57</f>
        <v>119120.14973988439</v>
      </c>
      <c r="J35" s="164">
        <f t="shared" si="4"/>
        <v>2.8901734104046241E-3</v>
      </c>
      <c r="K35" s="163">
        <f t="shared" si="5"/>
        <v>1370078.6626300577</v>
      </c>
    </row>
    <row r="36" spans="1:11">
      <c r="A36" s="159" t="s">
        <v>534</v>
      </c>
      <c r="B36" s="160">
        <v>1</v>
      </c>
      <c r="C36" s="161">
        <f>773040</f>
        <v>773040</v>
      </c>
      <c r="D36" s="161">
        <v>7634.45</v>
      </c>
      <c r="E36" s="161">
        <v>6281.06</v>
      </c>
      <c r="F36" s="162">
        <f t="shared" si="6"/>
        <v>7292.7601156069368</v>
      </c>
      <c r="G36" s="163">
        <f t="shared" si="7"/>
        <v>2853.4190751445085</v>
      </c>
      <c r="H36" s="163">
        <f t="shared" si="8"/>
        <v>96.820809248554909</v>
      </c>
      <c r="I36" s="163">
        <f t="shared" si="9"/>
        <v>119120.14973988439</v>
      </c>
      <c r="J36" s="164">
        <f t="shared" si="4"/>
        <v>2.8901734104046241E-3</v>
      </c>
      <c r="K36" s="163">
        <f t="shared" si="5"/>
        <v>916318.66263005789</v>
      </c>
    </row>
    <row r="37" spans="1:11">
      <c r="A37" s="159" t="s">
        <v>336</v>
      </c>
      <c r="B37" s="160">
        <v>6</v>
      </c>
      <c r="C37" s="161">
        <f>8100+5400+25000+169670+357610+187461.29+385980</f>
        <v>1139221.29</v>
      </c>
      <c r="D37" s="161">
        <v>7634.45</v>
      </c>
      <c r="E37" s="161">
        <v>6281.06</v>
      </c>
      <c r="F37" s="162">
        <f t="shared" si="6"/>
        <v>43756.560693641615</v>
      </c>
      <c r="G37" s="163">
        <f t="shared" si="7"/>
        <v>17120.514450867053</v>
      </c>
      <c r="H37" s="163">
        <f t="shared" si="8"/>
        <v>580.92485549132948</v>
      </c>
      <c r="I37" s="163">
        <f t="shared" si="9"/>
        <v>714720.89843930642</v>
      </c>
      <c r="J37" s="164">
        <f t="shared" si="4"/>
        <v>1.7341040462427744E-2</v>
      </c>
      <c r="K37" s="163">
        <f t="shared" si="5"/>
        <v>1929315.7157803471</v>
      </c>
    </row>
    <row r="38" spans="1:11">
      <c r="A38" s="159" t="s">
        <v>337</v>
      </c>
      <c r="B38" s="160">
        <v>3</v>
      </c>
      <c r="C38" s="161">
        <f>500+417506.4</f>
        <v>418006.4</v>
      </c>
      <c r="D38" s="161">
        <v>7634.45</v>
      </c>
      <c r="E38" s="161">
        <f>3080+240+5870+20290+8500+13130+6281.06</f>
        <v>57391.06</v>
      </c>
      <c r="F38" s="162">
        <f t="shared" si="6"/>
        <v>21878.280346820808</v>
      </c>
      <c r="G38" s="163">
        <f t="shared" si="7"/>
        <v>8560.2572254335264</v>
      </c>
      <c r="H38" s="163">
        <f t="shared" si="8"/>
        <v>290.46242774566474</v>
      </c>
      <c r="I38" s="163">
        <f t="shared" si="9"/>
        <v>357360.44921965321</v>
      </c>
      <c r="J38" s="164">
        <f t="shared" ref="J38:J56" si="10">$J$4*B38/$B$57</f>
        <v>8.670520231213872E-3</v>
      </c>
      <c r="K38" s="163">
        <f t="shared" si="5"/>
        <v>871121.36789017357</v>
      </c>
    </row>
    <row r="39" spans="1:11">
      <c r="A39" s="159" t="s">
        <v>1485</v>
      </c>
      <c r="B39" s="160">
        <f>5+1</f>
        <v>6</v>
      </c>
      <c r="C39" s="161">
        <f>8100+263650+406020+385980</f>
        <v>1063750</v>
      </c>
      <c r="D39" s="161">
        <v>7634.45</v>
      </c>
      <c r="E39" s="161">
        <v>6281.06</v>
      </c>
      <c r="F39" s="162">
        <f t="shared" si="6"/>
        <v>43756.560693641615</v>
      </c>
      <c r="G39" s="163">
        <f t="shared" si="7"/>
        <v>17120.514450867053</v>
      </c>
      <c r="H39" s="163">
        <f t="shared" si="8"/>
        <v>580.92485549132948</v>
      </c>
      <c r="I39" s="163">
        <f t="shared" si="9"/>
        <v>714720.89843930642</v>
      </c>
      <c r="J39" s="164">
        <f t="shared" si="10"/>
        <v>1.7341040462427744E-2</v>
      </c>
      <c r="K39" s="163">
        <f t="shared" si="5"/>
        <v>1853844.4257803471</v>
      </c>
    </row>
    <row r="40" spans="1:11">
      <c r="A40" s="159" t="s">
        <v>496</v>
      </c>
      <c r="B40" s="160">
        <v>9</v>
      </c>
      <c r="C40" s="161">
        <f>8100+8100+8000+5646+14650+443810+366800+363690+412740</f>
        <v>1631536</v>
      </c>
      <c r="D40" s="161">
        <v>7634.45</v>
      </c>
      <c r="E40" s="161">
        <f>5740+6281.06</f>
        <v>12021.060000000001</v>
      </c>
      <c r="F40" s="162">
        <f t="shared" si="6"/>
        <v>65634.84104046243</v>
      </c>
      <c r="G40" s="163">
        <f t="shared" si="7"/>
        <v>25680.771676300577</v>
      </c>
      <c r="H40" s="163">
        <f t="shared" si="8"/>
        <v>871.38728323699422</v>
      </c>
      <c r="I40" s="163">
        <f t="shared" si="9"/>
        <v>1072081.3476589597</v>
      </c>
      <c r="J40" s="164">
        <f t="shared" si="10"/>
        <v>2.6011560693641619E-2</v>
      </c>
      <c r="K40" s="163">
        <f t="shared" si="5"/>
        <v>2815459.8836705205</v>
      </c>
    </row>
    <row r="41" spans="1:11">
      <c r="A41" s="159" t="s">
        <v>526</v>
      </c>
      <c r="B41" s="160">
        <v>7</v>
      </c>
      <c r="C41" s="161">
        <f>8100+6600+658+357010+306360+407040</f>
        <v>1085768</v>
      </c>
      <c r="D41" s="161">
        <v>7634.45</v>
      </c>
      <c r="E41" s="161">
        <v>6281.06</v>
      </c>
      <c r="F41" s="162">
        <f t="shared" si="6"/>
        <v>51049.320809248558</v>
      </c>
      <c r="G41" s="163">
        <f t="shared" si="7"/>
        <v>19973.933526011562</v>
      </c>
      <c r="H41" s="163">
        <f t="shared" si="8"/>
        <v>677.74566473988443</v>
      </c>
      <c r="I41" s="163">
        <f t="shared" si="9"/>
        <v>833841.04817919084</v>
      </c>
      <c r="J41" s="164">
        <f t="shared" si="10"/>
        <v>2.023121387283237E-2</v>
      </c>
      <c r="K41" s="163">
        <f t="shared" si="5"/>
        <v>2005225.578410405</v>
      </c>
    </row>
    <row r="42" spans="1:11">
      <c r="A42" s="159" t="s">
        <v>1459</v>
      </c>
      <c r="B42" s="160">
        <v>3</v>
      </c>
      <c r="C42" s="161">
        <f>8100+357050+252029.03+4412.9</f>
        <v>621591.93000000005</v>
      </c>
      <c r="D42" s="161">
        <v>7634.45</v>
      </c>
      <c r="E42" s="161">
        <f>320+6281.06</f>
        <v>6601.06</v>
      </c>
      <c r="F42" s="162">
        <f t="shared" si="6"/>
        <v>21878.280346820808</v>
      </c>
      <c r="G42" s="163">
        <f t="shared" si="7"/>
        <v>8560.2572254335264</v>
      </c>
      <c r="H42" s="163">
        <f t="shared" si="8"/>
        <v>290.46242774566474</v>
      </c>
      <c r="I42" s="163">
        <f t="shared" si="9"/>
        <v>357360.44921965321</v>
      </c>
      <c r="J42" s="164">
        <f t="shared" si="10"/>
        <v>8.670520231213872E-3</v>
      </c>
      <c r="K42" s="163">
        <f t="shared" si="5"/>
        <v>1023916.8978901736</v>
      </c>
    </row>
    <row r="43" spans="1:11">
      <c r="A43" s="159" t="s">
        <v>1537</v>
      </c>
      <c r="B43" s="160">
        <v>7</v>
      </c>
      <c r="C43" s="161">
        <f>2870+669978.24</f>
        <v>672848.24</v>
      </c>
      <c r="D43" s="161">
        <v>7634.45</v>
      </c>
      <c r="E43" s="161">
        <v>6281.06</v>
      </c>
      <c r="F43" s="162">
        <f t="shared" si="6"/>
        <v>51049.320809248558</v>
      </c>
      <c r="G43" s="163">
        <f t="shared" si="7"/>
        <v>19973.933526011562</v>
      </c>
      <c r="H43" s="163">
        <f t="shared" si="8"/>
        <v>677.74566473988443</v>
      </c>
      <c r="I43" s="163">
        <f t="shared" si="9"/>
        <v>833841.04817919084</v>
      </c>
      <c r="J43" s="164">
        <f t="shared" si="10"/>
        <v>2.023121387283237E-2</v>
      </c>
      <c r="K43" s="163">
        <f t="shared" si="5"/>
        <v>1592305.8184104047</v>
      </c>
    </row>
    <row r="44" spans="1:11">
      <c r="A44" s="159" t="s">
        <v>501</v>
      </c>
      <c r="B44" s="160">
        <v>1</v>
      </c>
      <c r="C44" s="161">
        <f>250+373390.65</f>
        <v>373640.65</v>
      </c>
      <c r="D44" s="161">
        <v>7634.45</v>
      </c>
      <c r="E44" s="161">
        <v>6281.06</v>
      </c>
      <c r="F44" s="162">
        <f t="shared" si="6"/>
        <v>7292.7601156069368</v>
      </c>
      <c r="G44" s="163">
        <f t="shared" si="7"/>
        <v>2853.4190751445085</v>
      </c>
      <c r="H44" s="163">
        <f t="shared" si="8"/>
        <v>96.820809248554909</v>
      </c>
      <c r="I44" s="163">
        <f t="shared" si="9"/>
        <v>119120.14973988439</v>
      </c>
      <c r="J44" s="164">
        <f t="shared" si="10"/>
        <v>2.8901734104046241E-3</v>
      </c>
      <c r="K44" s="163">
        <f t="shared" si="5"/>
        <v>516919.31263005786</v>
      </c>
    </row>
    <row r="45" spans="1:11">
      <c r="A45" s="159" t="s">
        <v>293</v>
      </c>
      <c r="B45" s="160">
        <v>2</v>
      </c>
      <c r="C45" s="161">
        <f>6600+218460</f>
        <v>225060</v>
      </c>
      <c r="D45" s="161">
        <v>7634.45</v>
      </c>
      <c r="E45" s="161">
        <v>6281.06</v>
      </c>
      <c r="F45" s="162">
        <f t="shared" si="6"/>
        <v>14585.520231213874</v>
      </c>
      <c r="G45" s="163">
        <f t="shared" si="7"/>
        <v>5706.838150289017</v>
      </c>
      <c r="H45" s="163">
        <f t="shared" si="8"/>
        <v>193.64161849710982</v>
      </c>
      <c r="I45" s="163">
        <f t="shared" si="9"/>
        <v>238240.29947976879</v>
      </c>
      <c r="J45" s="164">
        <f t="shared" si="10"/>
        <v>5.7803468208092483E-3</v>
      </c>
      <c r="K45" s="163">
        <f t="shared" si="5"/>
        <v>497701.81526011566</v>
      </c>
    </row>
    <row r="46" spans="1:11">
      <c r="A46" s="159" t="s">
        <v>294</v>
      </c>
      <c r="B46" s="160">
        <v>2</v>
      </c>
      <c r="C46" s="161">
        <f>27400+1000+468720</f>
        <v>497120</v>
      </c>
      <c r="D46" s="161">
        <v>7634.45</v>
      </c>
      <c r="E46" s="161">
        <v>6281.06</v>
      </c>
      <c r="F46" s="162">
        <f t="shared" si="6"/>
        <v>14585.520231213874</v>
      </c>
      <c r="G46" s="163">
        <f t="shared" si="7"/>
        <v>5706.838150289017</v>
      </c>
      <c r="H46" s="163">
        <f t="shared" si="8"/>
        <v>193.64161849710982</v>
      </c>
      <c r="I46" s="163">
        <f t="shared" si="9"/>
        <v>238240.29947976879</v>
      </c>
      <c r="J46" s="164">
        <f t="shared" si="10"/>
        <v>5.7803468208092483E-3</v>
      </c>
      <c r="K46" s="163">
        <f t="shared" si="5"/>
        <v>769761.81526011566</v>
      </c>
    </row>
    <row r="47" spans="1:11">
      <c r="A47" s="159" t="s">
        <v>343</v>
      </c>
      <c r="B47" s="160">
        <v>4</v>
      </c>
      <c r="C47" s="161"/>
      <c r="D47" s="161">
        <v>7634.45</v>
      </c>
      <c r="E47" s="161">
        <v>6281.06</v>
      </c>
      <c r="F47" s="162">
        <f t="shared" si="6"/>
        <v>29171.040462427747</v>
      </c>
      <c r="G47" s="163">
        <f t="shared" si="7"/>
        <v>11413.676300578034</v>
      </c>
      <c r="H47" s="163">
        <f t="shared" si="8"/>
        <v>387.28323699421964</v>
      </c>
      <c r="I47" s="163">
        <f t="shared" si="9"/>
        <v>476480.59895953757</v>
      </c>
      <c r="J47" s="164">
        <f t="shared" si="10"/>
        <v>1.1560693641618497E-2</v>
      </c>
      <c r="K47" s="163">
        <f t="shared" si="5"/>
        <v>531368.1205202312</v>
      </c>
    </row>
    <row r="48" spans="1:11">
      <c r="A48" s="159" t="s">
        <v>344</v>
      </c>
      <c r="B48" s="160">
        <v>4</v>
      </c>
      <c r="C48" s="161"/>
      <c r="D48" s="161">
        <v>7634.45</v>
      </c>
      <c r="E48" s="161">
        <v>6281.06</v>
      </c>
      <c r="F48" s="162">
        <f t="shared" si="6"/>
        <v>29171.040462427747</v>
      </c>
      <c r="G48" s="163">
        <f t="shared" si="7"/>
        <v>11413.676300578034</v>
      </c>
      <c r="H48" s="163">
        <f t="shared" si="8"/>
        <v>387.28323699421964</v>
      </c>
      <c r="I48" s="163">
        <f t="shared" si="9"/>
        <v>476480.59895953757</v>
      </c>
      <c r="J48" s="164">
        <f t="shared" si="10"/>
        <v>1.1560693641618497E-2</v>
      </c>
      <c r="K48" s="163">
        <f t="shared" si="5"/>
        <v>531368.1205202312</v>
      </c>
    </row>
    <row r="49" spans="1:12">
      <c r="A49" s="159" t="s">
        <v>1538</v>
      </c>
      <c r="B49" s="160">
        <v>4</v>
      </c>
      <c r="C49" s="161">
        <f>8100+4200+760+369610</f>
        <v>382670</v>
      </c>
      <c r="D49" s="161">
        <v>7634.45</v>
      </c>
      <c r="E49" s="161">
        <v>6281.06</v>
      </c>
      <c r="F49" s="162">
        <f t="shared" si="6"/>
        <v>29171.040462427747</v>
      </c>
      <c r="G49" s="163">
        <f t="shared" si="7"/>
        <v>11413.676300578034</v>
      </c>
      <c r="H49" s="163">
        <f t="shared" si="8"/>
        <v>387.28323699421964</v>
      </c>
      <c r="I49" s="163">
        <f t="shared" si="9"/>
        <v>476480.59895953757</v>
      </c>
      <c r="J49" s="164">
        <f t="shared" si="10"/>
        <v>1.1560693641618497E-2</v>
      </c>
      <c r="K49" s="163">
        <f t="shared" si="5"/>
        <v>914038.12052023131</v>
      </c>
    </row>
    <row r="50" spans="1:12">
      <c r="A50" s="159" t="s">
        <v>346</v>
      </c>
      <c r="B50" s="160">
        <v>10</v>
      </c>
      <c r="C50" s="161">
        <f>25000+2100+250+569340+162810</f>
        <v>759500</v>
      </c>
      <c r="D50" s="161">
        <v>7634.45</v>
      </c>
      <c r="E50" s="161">
        <v>6281.06</v>
      </c>
      <c r="F50" s="162">
        <f t="shared" si="6"/>
        <v>72927.601156069359</v>
      </c>
      <c r="G50" s="163">
        <f t="shared" si="7"/>
        <v>28534.190751445087</v>
      </c>
      <c r="H50" s="163">
        <f t="shared" si="8"/>
        <v>968.20809248554917</v>
      </c>
      <c r="I50" s="163">
        <f t="shared" si="9"/>
        <v>1191201.497398844</v>
      </c>
      <c r="J50" s="164">
        <f t="shared" si="10"/>
        <v>2.8901734104046242E-2</v>
      </c>
      <c r="K50" s="163">
        <f t="shared" si="5"/>
        <v>2067047.0363005782</v>
      </c>
    </row>
    <row r="51" spans="1:12">
      <c r="A51" s="159" t="s">
        <v>347</v>
      </c>
      <c r="B51" s="160">
        <v>4</v>
      </c>
      <c r="C51" s="161">
        <f>8100+368560</f>
        <v>376660</v>
      </c>
      <c r="D51" s="161">
        <v>7634.45</v>
      </c>
      <c r="E51" s="161">
        <v>6281.06</v>
      </c>
      <c r="F51" s="162">
        <f t="shared" si="6"/>
        <v>29171.040462427747</v>
      </c>
      <c r="G51" s="163">
        <f t="shared" si="7"/>
        <v>11413.676300578034</v>
      </c>
      <c r="H51" s="163">
        <f t="shared" si="8"/>
        <v>387.28323699421964</v>
      </c>
      <c r="I51" s="163">
        <f t="shared" si="9"/>
        <v>476480.59895953757</v>
      </c>
      <c r="J51" s="164">
        <f t="shared" si="10"/>
        <v>1.1560693641618497E-2</v>
      </c>
      <c r="K51" s="163">
        <f t="shared" si="5"/>
        <v>908028.12052023131</v>
      </c>
    </row>
    <row r="52" spans="1:12">
      <c r="A52" s="159" t="s">
        <v>1498</v>
      </c>
      <c r="B52" s="160">
        <v>3</v>
      </c>
      <c r="C52" s="161">
        <f>272050</f>
        <v>272050</v>
      </c>
      <c r="D52" s="161">
        <v>7634.45</v>
      </c>
      <c r="E52" s="161">
        <v>6281.06</v>
      </c>
      <c r="F52" s="162">
        <f t="shared" si="6"/>
        <v>21878.280346820808</v>
      </c>
      <c r="G52" s="163">
        <f t="shared" si="7"/>
        <v>8560.2572254335264</v>
      </c>
      <c r="H52" s="163">
        <f t="shared" si="8"/>
        <v>290.46242774566474</v>
      </c>
      <c r="I52" s="163">
        <f t="shared" si="9"/>
        <v>357360.44921965321</v>
      </c>
      <c r="J52" s="164">
        <f t="shared" si="10"/>
        <v>8.670520231213872E-3</v>
      </c>
      <c r="K52" s="163">
        <f t="shared" si="5"/>
        <v>674054.96789017355</v>
      </c>
    </row>
    <row r="53" spans="1:12">
      <c r="A53" s="159" t="s">
        <v>1535</v>
      </c>
      <c r="B53" s="160">
        <v>3</v>
      </c>
      <c r="C53" s="161">
        <f>4800+371520+399360</f>
        <v>775680</v>
      </c>
      <c r="D53" s="161">
        <v>7634.45</v>
      </c>
      <c r="E53" s="161">
        <v>6281.06</v>
      </c>
      <c r="F53" s="162">
        <f t="shared" si="6"/>
        <v>21878.280346820808</v>
      </c>
      <c r="G53" s="163">
        <f t="shared" si="7"/>
        <v>8560.2572254335264</v>
      </c>
      <c r="H53" s="163">
        <f t="shared" si="8"/>
        <v>290.46242774566474</v>
      </c>
      <c r="I53" s="163">
        <f t="shared" si="9"/>
        <v>357360.44921965321</v>
      </c>
      <c r="J53" s="164">
        <f t="shared" si="10"/>
        <v>8.670520231213872E-3</v>
      </c>
      <c r="K53" s="163">
        <f t="shared" si="5"/>
        <v>1177684.9678901734</v>
      </c>
    </row>
    <row r="54" spans="1:12">
      <c r="A54" s="159" t="s">
        <v>1502</v>
      </c>
      <c r="B54" s="160">
        <v>6</v>
      </c>
      <c r="C54" s="161">
        <f>12000+12000+4200+4800+3022+754320+363890</f>
        <v>1154232</v>
      </c>
      <c r="D54" s="161">
        <v>7634.45</v>
      </c>
      <c r="E54" s="161">
        <v>6281.06</v>
      </c>
      <c r="F54" s="162">
        <f t="shared" si="6"/>
        <v>43756.560693641615</v>
      </c>
      <c r="G54" s="163">
        <f t="shared" si="7"/>
        <v>17120.514450867053</v>
      </c>
      <c r="H54" s="163">
        <f t="shared" si="8"/>
        <v>580.92485549132948</v>
      </c>
      <c r="I54" s="163">
        <f t="shared" si="9"/>
        <v>714720.89843930642</v>
      </c>
      <c r="J54" s="164">
        <f t="shared" si="10"/>
        <v>1.7341040462427744E-2</v>
      </c>
      <c r="K54" s="163">
        <f t="shared" si="5"/>
        <v>1944326.4257803471</v>
      </c>
    </row>
    <row r="55" spans="1:12">
      <c r="A55" s="168" t="s">
        <v>1521</v>
      </c>
      <c r="B55" s="160">
        <v>4</v>
      </c>
      <c r="C55" s="169">
        <f>8100+5580+500+411650+200940+1500+204530+250403.23+5864.52</f>
        <v>1089067.75</v>
      </c>
      <c r="D55" s="161">
        <v>7634.45</v>
      </c>
      <c r="E55" s="161">
        <f>320+18640+24510+43130+6281.06</f>
        <v>92881.06</v>
      </c>
      <c r="F55" s="162">
        <f t="shared" si="6"/>
        <v>29171.040462427747</v>
      </c>
      <c r="G55" s="163">
        <f t="shared" si="7"/>
        <v>11413.676300578034</v>
      </c>
      <c r="H55" s="163">
        <f t="shared" si="8"/>
        <v>387.28323699421964</v>
      </c>
      <c r="I55" s="163">
        <f t="shared" si="9"/>
        <v>476480.59895953757</v>
      </c>
      <c r="J55" s="164">
        <f t="shared" si="10"/>
        <v>1.1560693641618497E-2</v>
      </c>
      <c r="K55" s="163">
        <f t="shared" si="5"/>
        <v>1707035.8705202311</v>
      </c>
    </row>
    <row r="56" spans="1:12">
      <c r="A56" s="168" t="s">
        <v>1522</v>
      </c>
      <c r="B56" s="160">
        <v>2</v>
      </c>
      <c r="C56" s="170"/>
      <c r="D56" s="161">
        <f>7634.45-0.05</f>
        <v>7634.4</v>
      </c>
      <c r="E56" s="161">
        <f>6281.06+0.06</f>
        <v>6281.1200000000008</v>
      </c>
      <c r="F56" s="162">
        <f t="shared" si="6"/>
        <v>14585.520231213874</v>
      </c>
      <c r="G56" s="163">
        <f t="shared" si="7"/>
        <v>5706.838150289017</v>
      </c>
      <c r="H56" s="163">
        <f t="shared" si="8"/>
        <v>193.64161849710982</v>
      </c>
      <c r="I56" s="163">
        <f t="shared" si="9"/>
        <v>238240.29947976879</v>
      </c>
      <c r="J56" s="164">
        <f t="shared" si="10"/>
        <v>5.7803468208092483E-3</v>
      </c>
      <c r="K56" s="163">
        <f>SUM(C56:J56)</f>
        <v>272641.82526011561</v>
      </c>
      <c r="L56" s="166">
        <f>SUM(B35:B56)</f>
        <v>92</v>
      </c>
    </row>
    <row r="57" spans="1:12" s="177" customFormat="1">
      <c r="A57" s="171" t="s">
        <v>361</v>
      </c>
      <c r="B57" s="172">
        <f>SUM(B6:B56)</f>
        <v>346</v>
      </c>
      <c r="C57" s="173">
        <f>SUM(C6:C56)</f>
        <v>106161048.51000002</v>
      </c>
      <c r="D57" s="173">
        <f t="shared" ref="D57:K57" si="11">SUM(D6:D56)</f>
        <v>379938.00000000035</v>
      </c>
      <c r="E57" s="173">
        <f t="shared" si="11"/>
        <v>477821.99999999994</v>
      </c>
      <c r="F57" s="174">
        <f t="shared" si="11"/>
        <v>2523295</v>
      </c>
      <c r="G57" s="175">
        <f t="shared" si="11"/>
        <v>987282.99999999977</v>
      </c>
      <c r="H57" s="175">
        <f t="shared" si="11"/>
        <v>33499.999999999985</v>
      </c>
      <c r="I57" s="175">
        <f t="shared" si="11"/>
        <v>41215571.809999973</v>
      </c>
      <c r="J57" s="176">
        <f>SUM(J6:J56)</f>
        <v>1.0000000000000002</v>
      </c>
      <c r="K57" s="175">
        <f t="shared" si="11"/>
        <v>151778459.31999999</v>
      </c>
    </row>
    <row r="58" spans="1:12">
      <c r="A58" s="129"/>
      <c r="B58" s="182">
        <f>B57-346</f>
        <v>0</v>
      </c>
      <c r="C58" s="179">
        <f>C4-C57</f>
        <v>0</v>
      </c>
      <c r="D58" s="179">
        <f>D4-D57</f>
        <v>0</v>
      </c>
      <c r="E58" s="179">
        <f>477822-E57</f>
        <v>0</v>
      </c>
      <c r="F58" s="180"/>
      <c r="G58" s="180"/>
      <c r="H58" s="180"/>
      <c r="I58" s="180"/>
      <c r="J58" s="181"/>
      <c r="K58" s="180">
        <f>151778459.32-K57</f>
        <v>0</v>
      </c>
    </row>
    <row r="59" spans="1:12">
      <c r="A59" s="129"/>
      <c r="B59" s="182">
        <v>346</v>
      </c>
      <c r="F59" s="180"/>
      <c r="G59" s="180"/>
      <c r="H59" s="180"/>
      <c r="I59" s="180"/>
      <c r="J59" s="181"/>
      <c r="K59" s="180"/>
    </row>
    <row r="60" spans="1:12">
      <c r="A60" s="183"/>
      <c r="B60" s="178"/>
      <c r="F60" s="180"/>
      <c r="G60" s="180"/>
      <c r="H60" s="180"/>
      <c r="I60" s="180"/>
      <c r="J60" s="181"/>
      <c r="K60" s="180"/>
    </row>
    <row r="61" spans="1:12">
      <c r="A61" s="129"/>
      <c r="B61" s="178"/>
      <c r="F61" s="180"/>
      <c r="G61" s="180"/>
      <c r="H61" s="180"/>
      <c r="I61" s="180"/>
      <c r="J61" s="181"/>
      <c r="K61" s="180"/>
    </row>
    <row r="62" spans="1:12">
      <c r="A62" s="129"/>
      <c r="B62" s="178"/>
      <c r="F62" s="180"/>
      <c r="G62" s="180"/>
      <c r="H62" s="180"/>
      <c r="I62" s="180"/>
      <c r="J62" s="181"/>
      <c r="K62" s="180"/>
    </row>
    <row r="63" spans="1:12">
      <c r="A63" s="129"/>
      <c r="B63" s="178"/>
      <c r="F63" s="180"/>
      <c r="G63" s="180"/>
      <c r="H63" s="180"/>
      <c r="I63" s="180"/>
      <c r="J63" s="181"/>
      <c r="K63" s="180"/>
    </row>
    <row r="64" spans="1:12">
      <c r="A64" s="129"/>
      <c r="B64" s="178"/>
      <c r="F64" s="180"/>
      <c r="G64" s="180"/>
      <c r="H64" s="180"/>
      <c r="I64" s="180"/>
      <c r="J64" s="181"/>
      <c r="K64" s="180"/>
    </row>
    <row r="65" spans="1:11">
      <c r="A65" s="129"/>
      <c r="B65" s="178"/>
      <c r="F65" s="180"/>
      <c r="G65" s="180"/>
      <c r="H65" s="180"/>
      <c r="I65" s="180"/>
      <c r="J65" s="181"/>
      <c r="K65" s="180"/>
    </row>
    <row r="66" spans="1:11">
      <c r="A66" s="129"/>
      <c r="B66" s="178"/>
      <c r="F66" s="180"/>
      <c r="G66" s="180"/>
      <c r="H66" s="180"/>
      <c r="I66" s="180"/>
      <c r="J66" s="181"/>
      <c r="K66" s="180"/>
    </row>
    <row r="67" spans="1:11">
      <c r="A67" s="129"/>
      <c r="B67" s="178"/>
      <c r="F67" s="180"/>
      <c r="G67" s="180"/>
      <c r="H67" s="180"/>
      <c r="I67" s="180"/>
      <c r="J67" s="181"/>
      <c r="K67" s="180"/>
    </row>
    <row r="68" spans="1:11">
      <c r="A68" s="129"/>
      <c r="B68" s="178"/>
      <c r="F68" s="180"/>
      <c r="G68" s="180"/>
      <c r="H68" s="180"/>
      <c r="I68" s="180"/>
      <c r="J68" s="181"/>
      <c r="K68" s="180"/>
    </row>
    <row r="69" spans="1:11">
      <c r="A69" s="129"/>
      <c r="B69" s="178"/>
      <c r="F69" s="180"/>
      <c r="G69" s="180"/>
      <c r="H69" s="180"/>
      <c r="I69" s="180"/>
      <c r="J69" s="181"/>
      <c r="K69" s="180"/>
    </row>
    <row r="70" spans="1:11">
      <c r="A70" s="129"/>
      <c r="B70" s="178"/>
      <c r="F70" s="180"/>
      <c r="G70" s="180"/>
      <c r="H70" s="180"/>
      <c r="I70" s="180"/>
      <c r="J70" s="181"/>
      <c r="K70" s="180"/>
    </row>
    <row r="71" spans="1:11">
      <c r="A71" s="129"/>
      <c r="B71" s="178"/>
      <c r="F71" s="180"/>
      <c r="G71" s="180"/>
      <c r="H71" s="180"/>
      <c r="I71" s="180"/>
      <c r="J71" s="181"/>
      <c r="K71" s="180"/>
    </row>
    <row r="72" spans="1:11">
      <c r="A72" s="129"/>
      <c r="B72" s="178"/>
      <c r="F72" s="180"/>
      <c r="G72" s="180"/>
      <c r="H72" s="180"/>
      <c r="I72" s="180"/>
      <c r="J72" s="181"/>
      <c r="K72" s="180"/>
    </row>
    <row r="73" spans="1:11">
      <c r="A73" s="129"/>
      <c r="B73" s="178"/>
      <c r="F73" s="180"/>
      <c r="G73" s="180"/>
      <c r="H73" s="180"/>
      <c r="I73" s="180"/>
      <c r="J73" s="181"/>
      <c r="K73" s="180"/>
    </row>
    <row r="74" spans="1:11">
      <c r="A74" s="129"/>
      <c r="B74" s="178"/>
      <c r="F74" s="180"/>
      <c r="G74" s="180"/>
      <c r="H74" s="180"/>
      <c r="I74" s="180"/>
      <c r="J74" s="181"/>
      <c r="K74" s="180"/>
    </row>
    <row r="75" spans="1:11">
      <c r="A75" s="129"/>
      <c r="B75" s="178"/>
      <c r="F75" s="180"/>
      <c r="G75" s="180"/>
      <c r="H75" s="180"/>
      <c r="I75" s="180"/>
      <c r="J75" s="181"/>
      <c r="K75" s="180"/>
    </row>
    <row r="76" spans="1:11">
      <c r="A76" s="129"/>
      <c r="B76" s="178"/>
      <c r="F76" s="180"/>
      <c r="G76" s="180"/>
      <c r="H76" s="180"/>
      <c r="I76" s="180"/>
      <c r="J76" s="181"/>
      <c r="K76" s="180"/>
    </row>
    <row r="77" spans="1:11">
      <c r="A77" s="129"/>
      <c r="B77" s="178"/>
      <c r="F77" s="180"/>
      <c r="G77" s="180"/>
      <c r="H77" s="180"/>
      <c r="I77" s="180"/>
      <c r="J77" s="181"/>
      <c r="K77" s="180"/>
    </row>
    <row r="78" spans="1:11">
      <c r="A78" s="129"/>
      <c r="B78" s="178"/>
      <c r="F78" s="180"/>
      <c r="G78" s="180"/>
      <c r="H78" s="180"/>
      <c r="I78" s="180"/>
      <c r="J78" s="181"/>
      <c r="K78" s="180"/>
    </row>
    <row r="79" spans="1:11">
      <c r="A79" s="129"/>
      <c r="B79" s="178"/>
      <c r="F79" s="180"/>
      <c r="G79" s="180"/>
      <c r="H79" s="180"/>
      <c r="I79" s="180"/>
      <c r="J79" s="181"/>
      <c r="K79" s="180"/>
    </row>
    <row r="80" spans="1:11">
      <c r="A80" s="129"/>
      <c r="B80" s="178"/>
      <c r="F80" s="180"/>
      <c r="G80" s="180"/>
      <c r="H80" s="180"/>
      <c r="I80" s="180"/>
      <c r="J80" s="181"/>
      <c r="K80" s="180"/>
    </row>
    <row r="81" spans="1:11">
      <c r="A81" s="129"/>
      <c r="B81" s="178"/>
      <c r="F81" s="180"/>
      <c r="G81" s="180"/>
      <c r="H81" s="180"/>
      <c r="I81" s="180"/>
      <c r="J81" s="181"/>
      <c r="K81" s="180"/>
    </row>
    <row r="82" spans="1:11">
      <c r="A82" s="129"/>
      <c r="B82" s="178"/>
      <c r="F82" s="180"/>
      <c r="G82" s="180"/>
      <c r="H82" s="180"/>
      <c r="I82" s="180"/>
      <c r="J82" s="181"/>
      <c r="K82" s="180"/>
    </row>
    <row r="83" spans="1:11">
      <c r="A83" s="129"/>
      <c r="B83" s="178"/>
      <c r="F83" s="180"/>
      <c r="G83" s="180"/>
      <c r="H83" s="180"/>
      <c r="I83" s="180"/>
      <c r="J83" s="181"/>
      <c r="K83" s="180"/>
    </row>
    <row r="84" spans="1:11">
      <c r="A84" s="129"/>
      <c r="B84" s="178"/>
      <c r="F84" s="180"/>
      <c r="G84" s="180"/>
      <c r="H84" s="180"/>
      <c r="I84" s="180"/>
      <c r="J84" s="181"/>
      <c r="K84" s="180"/>
    </row>
    <row r="85" spans="1:11">
      <c r="A85" s="129"/>
      <c r="B85" s="178"/>
      <c r="F85" s="180"/>
      <c r="G85" s="180"/>
      <c r="H85" s="180"/>
      <c r="I85" s="180"/>
      <c r="J85" s="181"/>
      <c r="K85" s="180"/>
    </row>
    <row r="86" spans="1:11">
      <c r="A86" s="129"/>
      <c r="B86" s="178"/>
      <c r="F86" s="180"/>
      <c r="G86" s="180"/>
      <c r="H86" s="180"/>
      <c r="I86" s="180"/>
      <c r="J86" s="181"/>
      <c r="K86" s="180"/>
    </row>
    <row r="87" spans="1:11">
      <c r="A87" s="129"/>
      <c r="B87" s="178"/>
      <c r="F87" s="180"/>
      <c r="G87" s="180"/>
      <c r="H87" s="180"/>
      <c r="I87" s="180"/>
      <c r="J87" s="181"/>
      <c r="K87" s="180"/>
    </row>
    <row r="88" spans="1:11">
      <c r="A88" s="129"/>
      <c r="B88" s="178"/>
      <c r="F88" s="180"/>
      <c r="G88" s="180"/>
      <c r="H88" s="180"/>
      <c r="I88" s="180"/>
      <c r="J88" s="181"/>
      <c r="K88" s="180"/>
    </row>
    <row r="89" spans="1:11">
      <c r="A89" s="129"/>
      <c r="B89" s="178"/>
      <c r="F89" s="180"/>
      <c r="G89" s="180"/>
      <c r="H89" s="180"/>
      <c r="I89" s="180"/>
      <c r="J89" s="181"/>
      <c r="K89" s="180"/>
    </row>
  </sheetData>
  <mergeCells count="3">
    <mergeCell ref="A1:K1"/>
    <mergeCell ref="A2:K2"/>
    <mergeCell ref="A3:A4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90"/>
  <sheetViews>
    <sheetView tabSelected="1" topLeftCell="A46" workbookViewId="0">
      <selection activeCell="F67" sqref="F67"/>
    </sheetView>
  </sheetViews>
  <sheetFormatPr defaultRowHeight="18.75"/>
  <cols>
    <col min="1" max="1" width="29.7109375" style="192" customWidth="1"/>
    <col min="2" max="2" width="5.85546875" style="185" customWidth="1"/>
    <col min="3" max="3" width="12.28515625" style="185" customWidth="1"/>
    <col min="4" max="4" width="12" style="185" customWidth="1"/>
    <col min="5" max="5" width="11.42578125" style="185" customWidth="1"/>
    <col min="6" max="6" width="16" style="191" customWidth="1"/>
    <col min="7" max="7" width="13.140625" style="192" customWidth="1"/>
    <col min="8" max="8" width="12.140625" style="192" customWidth="1"/>
    <col min="9" max="9" width="12.28515625" style="192" customWidth="1"/>
    <col min="10" max="10" width="11.28515625" style="192" customWidth="1"/>
    <col min="11" max="11" width="13" style="192" customWidth="1"/>
    <col min="12" max="12" width="14.42578125" style="193" customWidth="1"/>
    <col min="13" max="13" width="12.140625" style="129" customWidth="1"/>
    <col min="14" max="14" width="12.28515625" style="189" customWidth="1"/>
    <col min="15" max="16384" width="9.140625" style="129"/>
  </cols>
  <sheetData>
    <row r="1" spans="1:14">
      <c r="A1" s="1077" t="s">
        <v>297</v>
      </c>
      <c r="B1" s="1077"/>
      <c r="C1" s="1077"/>
      <c r="D1" s="1077"/>
      <c r="E1" s="1077"/>
      <c r="F1" s="1077"/>
      <c r="G1" s="1077"/>
      <c r="H1" s="1077"/>
      <c r="I1" s="1077"/>
      <c r="J1" s="1077"/>
      <c r="K1" s="1077"/>
      <c r="L1" s="1077"/>
    </row>
    <row r="2" spans="1:14">
      <c r="A2" s="1077" t="s">
        <v>469</v>
      </c>
      <c r="B2" s="1077"/>
      <c r="C2" s="1077"/>
      <c r="D2" s="1077"/>
      <c r="E2" s="1077"/>
      <c r="F2" s="1077"/>
      <c r="G2" s="1077"/>
      <c r="H2" s="1077"/>
      <c r="I2" s="1077"/>
      <c r="J2" s="1077"/>
      <c r="K2" s="1077"/>
      <c r="L2" s="1077"/>
    </row>
    <row r="3" spans="1:14">
      <c r="A3" s="190"/>
      <c r="M3" s="1080" t="s">
        <v>0</v>
      </c>
      <c r="N3" s="1081"/>
    </row>
    <row r="4" spans="1:14">
      <c r="A4" s="1079" t="s">
        <v>213</v>
      </c>
      <c r="B4" s="194" t="s">
        <v>465</v>
      </c>
      <c r="C4" s="195" t="s">
        <v>7</v>
      </c>
      <c r="D4" s="195" t="s">
        <v>466</v>
      </c>
      <c r="E4" s="196" t="s">
        <v>467</v>
      </c>
      <c r="F4" s="197" t="s">
        <v>468</v>
      </c>
      <c r="G4" s="198" t="s">
        <v>15</v>
      </c>
      <c r="H4" s="198" t="s">
        <v>17</v>
      </c>
      <c r="I4" s="198" t="s">
        <v>303</v>
      </c>
      <c r="J4" s="198" t="s">
        <v>459</v>
      </c>
      <c r="K4" s="199" t="s">
        <v>217</v>
      </c>
      <c r="L4" s="200" t="s">
        <v>1</v>
      </c>
      <c r="M4" s="201" t="s">
        <v>448</v>
      </c>
      <c r="N4" s="883" t="s">
        <v>503</v>
      </c>
    </row>
    <row r="5" spans="1:14" s="151" customFormat="1">
      <c r="A5" s="1079"/>
      <c r="B5" s="202"/>
      <c r="C5" s="203">
        <v>46663039.590000004</v>
      </c>
      <c r="D5" s="203">
        <v>9138886.2799999993</v>
      </c>
      <c r="E5" s="204">
        <v>461315.41</v>
      </c>
      <c r="F5" s="205">
        <v>152598672</v>
      </c>
      <c r="G5" s="206">
        <v>9410534.1899999995</v>
      </c>
      <c r="H5" s="206">
        <v>34788754.299999997</v>
      </c>
      <c r="I5" s="206">
        <v>42732393.079999998</v>
      </c>
      <c r="J5" s="206">
        <v>966442</v>
      </c>
      <c r="K5" s="206">
        <v>14281</v>
      </c>
      <c r="L5" s="207">
        <f>SUM(C5:K5)</f>
        <v>296774317.84999996</v>
      </c>
      <c r="M5" s="208">
        <v>11543393.609999999</v>
      </c>
      <c r="N5" s="209">
        <v>105969.86</v>
      </c>
    </row>
    <row r="6" spans="1:14">
      <c r="A6" s="152" t="s">
        <v>226</v>
      </c>
      <c r="B6" s="153"/>
      <c r="C6" s="210"/>
      <c r="D6" s="210"/>
      <c r="E6" s="210"/>
      <c r="F6" s="211"/>
      <c r="G6" s="212"/>
      <c r="H6" s="212"/>
      <c r="I6" s="212"/>
      <c r="J6" s="212"/>
      <c r="K6" s="212"/>
      <c r="L6" s="213"/>
      <c r="M6" s="214"/>
      <c r="N6" s="215"/>
    </row>
    <row r="7" spans="1:14">
      <c r="A7" s="159" t="s">
        <v>312</v>
      </c>
      <c r="B7" s="160">
        <v>1</v>
      </c>
      <c r="C7" s="216">
        <f>305100+34128.97</f>
        <v>339228.97</v>
      </c>
      <c r="D7" s="217"/>
      <c r="E7" s="161"/>
      <c r="F7" s="218">
        <f>+$F$5*B7/$B$58</f>
        <v>441036.62427745666</v>
      </c>
      <c r="G7" s="219">
        <f>+$G$5*B7/$B$58</f>
        <v>27198.075693641618</v>
      </c>
      <c r="H7" s="220">
        <f>+$H$5*B7/$B$58</f>
        <v>100545.53265895954</v>
      </c>
      <c r="I7" s="220">
        <f>+$I$5*B7/$B$58</f>
        <v>123504.02624277456</v>
      </c>
      <c r="J7" s="220">
        <f>+$J$5*B7/$B$58</f>
        <v>2793.184971098266</v>
      </c>
      <c r="K7" s="220">
        <f>+$K$5*F7/$F$58</f>
        <v>41.274566473988422</v>
      </c>
      <c r="L7" s="221">
        <f>SUM(C7:K7)</f>
        <v>1034347.6884104047</v>
      </c>
      <c r="M7" s="222">
        <f>+$M$5*B7/$B$58</f>
        <v>33362.409277456645</v>
      </c>
      <c r="N7" s="223">
        <f t="shared" ref="N7:N38" si="0">+$N$5*B7/$B$58</f>
        <v>306.27127167630056</v>
      </c>
    </row>
    <row r="8" spans="1:14">
      <c r="A8" s="159" t="s">
        <v>313</v>
      </c>
      <c r="B8" s="160">
        <f>2+1</f>
        <v>3</v>
      </c>
      <c r="C8" s="216">
        <f>296700+340400+3600+34128.97</f>
        <v>674828.97</v>
      </c>
      <c r="D8" s="217">
        <f>27136.74+81727.47+147501.01</f>
        <v>256365.22000000003</v>
      </c>
      <c r="E8" s="161">
        <f>2880</f>
        <v>2880</v>
      </c>
      <c r="F8" s="218">
        <f>+$F$5*B8/$B$58</f>
        <v>1323109.87283237</v>
      </c>
      <c r="G8" s="219">
        <f>+$G$5*B8/$B$58</f>
        <v>81594.227080924858</v>
      </c>
      <c r="H8" s="220">
        <f>+$H$5*B8/$B$58</f>
        <v>301636.59797687858</v>
      </c>
      <c r="I8" s="220">
        <f>+$I$5*B8/$B$58</f>
        <v>370512.07872832369</v>
      </c>
      <c r="J8" s="220">
        <f>+$J$5*B8/$B$58</f>
        <v>8379.5549132947981</v>
      </c>
      <c r="K8" s="220">
        <f>+$K$5*F8/$F$58</f>
        <v>123.82369942196527</v>
      </c>
      <c r="L8" s="221">
        <f t="shared" ref="L8:L57" si="1">SUM(C8:K8)</f>
        <v>3019430.3452312145</v>
      </c>
      <c r="M8" s="222">
        <f>+$M$5*B8/$B$58</f>
        <v>100087.22783236994</v>
      </c>
      <c r="N8" s="223">
        <f t="shared" si="0"/>
        <v>918.81381502890179</v>
      </c>
    </row>
    <row r="9" spans="1:14">
      <c r="A9" s="159" t="s">
        <v>314</v>
      </c>
      <c r="B9" s="160">
        <v>1</v>
      </c>
      <c r="C9" s="216">
        <f>25000+43200+34128.97</f>
        <v>102328.97</v>
      </c>
      <c r="D9" s="217">
        <f>12485+40556.58+147501.01</f>
        <v>200542.59000000003</v>
      </c>
      <c r="E9" s="161"/>
      <c r="F9" s="218">
        <f>+$F$5*B9/$B$58</f>
        <v>441036.62427745666</v>
      </c>
      <c r="G9" s="219">
        <f>+$G$5*B9/$B$58</f>
        <v>27198.075693641618</v>
      </c>
      <c r="H9" s="220">
        <f>+$H$5*B9/$B$58</f>
        <v>100545.53265895954</v>
      </c>
      <c r="I9" s="220">
        <f>+$I$5*B9/$B$58</f>
        <v>123504.02624277456</v>
      </c>
      <c r="J9" s="220">
        <f>+$J$5*B9/$B$58</f>
        <v>2793.184971098266</v>
      </c>
      <c r="K9" s="220">
        <f>+$K$5*F9/$F$58</f>
        <v>41.274566473988422</v>
      </c>
      <c r="L9" s="221">
        <f t="shared" si="1"/>
        <v>997990.2784104048</v>
      </c>
      <c r="M9" s="222">
        <f>+$M$5*B9/$B$58</f>
        <v>33362.409277456645</v>
      </c>
      <c r="N9" s="223">
        <f t="shared" si="0"/>
        <v>306.27127167630056</v>
      </c>
    </row>
    <row r="10" spans="1:14">
      <c r="A10" s="159" t="s">
        <v>315</v>
      </c>
      <c r="B10" s="160">
        <f>3+1+1</f>
        <v>5</v>
      </c>
      <c r="C10" s="216">
        <f>25000+55000+271500+382050+296100+298800+13800+34128.97</f>
        <v>1376378.97</v>
      </c>
      <c r="D10" s="217">
        <f>139194.45+12868+8280+8390+1000+147501.01</f>
        <v>317233.46000000002</v>
      </c>
      <c r="E10" s="161">
        <f>7200+2982+480</f>
        <v>10662</v>
      </c>
      <c r="F10" s="218">
        <f>+$F$5*B10/$B$58</f>
        <v>2205183.1213872833</v>
      </c>
      <c r="G10" s="219">
        <f>+$G$5*B10/$B$58</f>
        <v>135990.37846820807</v>
      </c>
      <c r="H10" s="220">
        <f>+$H$5*B10/$B$58</f>
        <v>502727.66329479771</v>
      </c>
      <c r="I10" s="220">
        <f>+$I$5*B10/$B$58</f>
        <v>617520.13121387281</v>
      </c>
      <c r="J10" s="220">
        <f>+$J$5*B10/$B$58</f>
        <v>13965.92485549133</v>
      </c>
      <c r="K10" s="220">
        <f>+$K$5*F10/$F$58</f>
        <v>206.3728323699421</v>
      </c>
      <c r="L10" s="221">
        <f t="shared" si="1"/>
        <v>5179868.0220520226</v>
      </c>
      <c r="M10" s="222">
        <f>+$M$5*B10/$B$58</f>
        <v>166812.04638728322</v>
      </c>
      <c r="N10" s="223">
        <f t="shared" si="0"/>
        <v>1531.356358381503</v>
      </c>
    </row>
    <row r="11" spans="1:14">
      <c r="A11" s="159" t="s">
        <v>316</v>
      </c>
      <c r="B11" s="160">
        <v>3</v>
      </c>
      <c r="C11" s="216">
        <f>295200+299700+294300+1500+34128.97</f>
        <v>924828.97</v>
      </c>
      <c r="D11" s="217">
        <f>5825+36696+147501.01</f>
        <v>190022.01</v>
      </c>
      <c r="E11" s="217">
        <f>5090</f>
        <v>5090</v>
      </c>
      <c r="F11" s="218">
        <f>+$F$5*B11/$B$58</f>
        <v>1323109.87283237</v>
      </c>
      <c r="G11" s="219">
        <f>+$G$5*B11/$B$58</f>
        <v>81594.227080924858</v>
      </c>
      <c r="H11" s="220">
        <f>+$H$5*B11/$B$58</f>
        <v>301636.59797687858</v>
      </c>
      <c r="I11" s="220">
        <f>+$I$5*B11/$B$58</f>
        <v>370512.07872832369</v>
      </c>
      <c r="J11" s="220">
        <f>+$J$5*B11/$B$58</f>
        <v>8379.5549132947981</v>
      </c>
      <c r="K11" s="220">
        <f>+$K$5*F11/$F$58</f>
        <v>123.82369942196527</v>
      </c>
      <c r="L11" s="221">
        <f t="shared" si="1"/>
        <v>3205297.1352312146</v>
      </c>
      <c r="M11" s="222">
        <f>+$M$5*B11/$B$58</f>
        <v>100087.22783236994</v>
      </c>
      <c r="N11" s="223">
        <f t="shared" si="0"/>
        <v>918.81381502890179</v>
      </c>
    </row>
    <row r="12" spans="1:14">
      <c r="A12" s="159" t="s">
        <v>317</v>
      </c>
      <c r="B12" s="160">
        <v>0</v>
      </c>
      <c r="C12" s="161"/>
      <c r="D12" s="161"/>
      <c r="E12" s="161"/>
      <c r="F12" s="161">
        <v>0</v>
      </c>
      <c r="G12" s="161">
        <v>0</v>
      </c>
      <c r="H12" s="161">
        <v>0</v>
      </c>
      <c r="I12" s="161">
        <v>0</v>
      </c>
      <c r="J12" s="161">
        <v>0</v>
      </c>
      <c r="K12" s="161">
        <v>0</v>
      </c>
      <c r="L12" s="221">
        <f t="shared" si="1"/>
        <v>0</v>
      </c>
      <c r="M12" s="222"/>
      <c r="N12" s="223">
        <f t="shared" si="0"/>
        <v>0</v>
      </c>
    </row>
    <row r="13" spans="1:14">
      <c r="A13" s="159" t="s">
        <v>318</v>
      </c>
      <c r="B13" s="160">
        <v>25</v>
      </c>
      <c r="C13" s="217">
        <f>30000+12000+342500+360700+364600+364700+154500+155350+165100+161850+148850+151450+147550+143000+144950+142350+144950+150150+147550+141050+144950+146900+149500+146900+91260+122720+93827.5+1200+1200+235920+189120+132840+34128.97</f>
        <v>5063616.47</v>
      </c>
      <c r="D13" s="217">
        <f>67140+25380+8803+4000+15510+10506+1380+10126+12440+3376+11020+10126+11506+1380+499+147501.01</f>
        <v>340693.01</v>
      </c>
      <c r="E13" s="217">
        <f>5861</f>
        <v>5861</v>
      </c>
      <c r="F13" s="218">
        <f t="shared" ref="F13:F34" si="2">+$F$5*B13/$B$58</f>
        <v>11025915.606936416</v>
      </c>
      <c r="G13" s="219">
        <f t="shared" ref="G13:G34" si="3">+$G$5*B13/$B$58</f>
        <v>679951.89234104042</v>
      </c>
      <c r="H13" s="220">
        <f t="shared" ref="H13:H34" si="4">+$H$5*B13/$B$58</f>
        <v>2513638.3164739879</v>
      </c>
      <c r="I13" s="220">
        <f t="shared" ref="I13:I34" si="5">+$I$5*B13/$B$58</f>
        <v>3087600.6560693639</v>
      </c>
      <c r="J13" s="220">
        <f t="shared" ref="J13:J34" si="6">+$J$5*B13/$B$58</f>
        <v>69829.624277456649</v>
      </c>
      <c r="K13" s="220">
        <f t="shared" ref="K13:K34" si="7">+$K$5*F13/$F$58</f>
        <v>1031.8641618497106</v>
      </c>
      <c r="L13" s="221">
        <f t="shared" si="1"/>
        <v>22788138.440260112</v>
      </c>
      <c r="M13" s="222">
        <f t="shared" ref="M13:M34" si="8">+$M$5*B13/$B$58</f>
        <v>834060.23193641624</v>
      </c>
      <c r="N13" s="223">
        <f t="shared" si="0"/>
        <v>7656.7817919075142</v>
      </c>
    </row>
    <row r="14" spans="1:14">
      <c r="A14" s="159" t="s">
        <v>319</v>
      </c>
      <c r="B14" s="160">
        <v>13</v>
      </c>
      <c r="C14" s="217">
        <f>30000+12000+614600+597800+178100+178750+178750+182000+179400+180700+1200+240120+251640+120360+112920+34128.97</f>
        <v>3092468.97</v>
      </c>
      <c r="D14" s="217">
        <f>6760+8205.7+147501.01</f>
        <v>162466.71000000002</v>
      </c>
      <c r="E14" s="217">
        <f>6965.66+120+120</f>
        <v>7205.66</v>
      </c>
      <c r="F14" s="218">
        <f t="shared" si="2"/>
        <v>5733476.1156069366</v>
      </c>
      <c r="G14" s="219">
        <f t="shared" si="3"/>
        <v>353574.98401734105</v>
      </c>
      <c r="H14" s="220">
        <f t="shared" si="4"/>
        <v>1307091.9245664738</v>
      </c>
      <c r="I14" s="220">
        <f t="shared" si="5"/>
        <v>1605552.3411560692</v>
      </c>
      <c r="J14" s="220">
        <f t="shared" si="6"/>
        <v>36311.404624277457</v>
      </c>
      <c r="K14" s="220">
        <f t="shared" si="7"/>
        <v>536.56936416184953</v>
      </c>
      <c r="L14" s="221">
        <f t="shared" si="1"/>
        <v>12298684.679335261</v>
      </c>
      <c r="M14" s="222">
        <f t="shared" si="8"/>
        <v>433711.32060693641</v>
      </c>
      <c r="N14" s="223">
        <f t="shared" si="0"/>
        <v>3981.5265317919075</v>
      </c>
    </row>
    <row r="15" spans="1:14">
      <c r="A15" s="159" t="s">
        <v>320</v>
      </c>
      <c r="B15" s="160">
        <v>9</v>
      </c>
      <c r="C15" s="217">
        <f>25000+25000+12000+246825+277125+81981.25+76700+80925+84825+80925+2080+2925+88725+1950+3575+3900+3600+2400+2400+190320+119640+238200+145800+34128.97</f>
        <v>1830950.22</v>
      </c>
      <c r="D15" s="217">
        <f>29680+31582+8765+6636+147501.01</f>
        <v>224164.01</v>
      </c>
      <c r="E15" s="216">
        <f>10470</f>
        <v>10470</v>
      </c>
      <c r="F15" s="218">
        <f t="shared" si="2"/>
        <v>3969329.61849711</v>
      </c>
      <c r="G15" s="219">
        <f t="shared" si="3"/>
        <v>244782.68124277456</v>
      </c>
      <c r="H15" s="220">
        <f t="shared" si="4"/>
        <v>904909.79393063579</v>
      </c>
      <c r="I15" s="220">
        <f t="shared" si="5"/>
        <v>1111536.2361849709</v>
      </c>
      <c r="J15" s="220">
        <f t="shared" si="6"/>
        <v>25138.664739884392</v>
      </c>
      <c r="K15" s="220">
        <f t="shared" si="7"/>
        <v>371.47109826589582</v>
      </c>
      <c r="L15" s="221">
        <f t="shared" si="1"/>
        <v>8321652.695693641</v>
      </c>
      <c r="M15" s="222">
        <f t="shared" si="8"/>
        <v>300261.6834971098</v>
      </c>
      <c r="N15" s="223">
        <f t="shared" si="0"/>
        <v>2756.4414450867052</v>
      </c>
    </row>
    <row r="16" spans="1:14">
      <c r="A16" s="159" t="s">
        <v>1486</v>
      </c>
      <c r="B16" s="160">
        <f>5+1</f>
        <v>6</v>
      </c>
      <c r="C16" s="217">
        <f>10000+23709.68+12000+12000+12000+1200+61935.42+181320+299880+34128.97</f>
        <v>648174.06999999995</v>
      </c>
      <c r="D16" s="217"/>
      <c r="E16" s="216">
        <f>120+120</f>
        <v>240</v>
      </c>
      <c r="F16" s="218">
        <f t="shared" si="2"/>
        <v>2646219.74566474</v>
      </c>
      <c r="G16" s="219">
        <f t="shared" si="3"/>
        <v>163188.45416184972</v>
      </c>
      <c r="H16" s="220">
        <f t="shared" si="4"/>
        <v>603273.19595375715</v>
      </c>
      <c r="I16" s="220">
        <f t="shared" si="5"/>
        <v>741024.15745664737</v>
      </c>
      <c r="J16" s="220">
        <f t="shared" si="6"/>
        <v>16759.109826589596</v>
      </c>
      <c r="K16" s="220">
        <f t="shared" si="7"/>
        <v>247.64739884393055</v>
      </c>
      <c r="L16" s="221">
        <f t="shared" si="1"/>
        <v>4819126.3804624286</v>
      </c>
      <c r="M16" s="222">
        <f t="shared" si="8"/>
        <v>200174.45566473989</v>
      </c>
      <c r="N16" s="223">
        <f t="shared" si="0"/>
        <v>1837.6276300578036</v>
      </c>
    </row>
    <row r="17" spans="1:14">
      <c r="A17" s="159" t="s">
        <v>322</v>
      </c>
      <c r="B17" s="160">
        <v>4</v>
      </c>
      <c r="C17" s="161">
        <f>33.33+10741.94+57525+11618.75+26276.25+26650+211354.84+116280+216000+34128.97</f>
        <v>710609.08</v>
      </c>
      <c r="D17" s="217">
        <f>3000+9366+147501.01</f>
        <v>159867.01</v>
      </c>
      <c r="E17" s="161">
        <f>240+120+4099.6</f>
        <v>4459.6000000000004</v>
      </c>
      <c r="F17" s="218">
        <f t="shared" si="2"/>
        <v>1764146.4971098267</v>
      </c>
      <c r="G17" s="219">
        <f t="shared" si="3"/>
        <v>108792.30277456647</v>
      </c>
      <c r="H17" s="220">
        <f t="shared" si="4"/>
        <v>402182.13063583814</v>
      </c>
      <c r="I17" s="220">
        <f t="shared" si="5"/>
        <v>494016.10497109825</v>
      </c>
      <c r="J17" s="220">
        <f t="shared" si="6"/>
        <v>11172.739884393064</v>
      </c>
      <c r="K17" s="220">
        <f t="shared" si="7"/>
        <v>165.09826589595369</v>
      </c>
      <c r="L17" s="221">
        <f t="shared" si="1"/>
        <v>3655410.5636416189</v>
      </c>
      <c r="M17" s="222">
        <f t="shared" si="8"/>
        <v>133449.63710982658</v>
      </c>
      <c r="N17" s="223">
        <f t="shared" si="0"/>
        <v>1225.0850867052022</v>
      </c>
    </row>
    <row r="18" spans="1:14">
      <c r="A18" s="159" t="s">
        <v>250</v>
      </c>
      <c r="B18" s="160">
        <v>5</v>
      </c>
      <c r="C18" s="217">
        <f>104280+34128.97</f>
        <v>138408.97</v>
      </c>
      <c r="D18" s="217">
        <f>22766.47+147501.01</f>
        <v>170267.48</v>
      </c>
      <c r="E18" s="161"/>
      <c r="F18" s="218">
        <f t="shared" si="2"/>
        <v>2205183.1213872833</v>
      </c>
      <c r="G18" s="219">
        <f t="shared" si="3"/>
        <v>135990.37846820807</v>
      </c>
      <c r="H18" s="220">
        <f t="shared" si="4"/>
        <v>502727.66329479771</v>
      </c>
      <c r="I18" s="220">
        <f t="shared" si="5"/>
        <v>617520.13121387281</v>
      </c>
      <c r="J18" s="220">
        <f t="shared" si="6"/>
        <v>13965.92485549133</v>
      </c>
      <c r="K18" s="220">
        <f t="shared" si="7"/>
        <v>206.3728323699421</v>
      </c>
      <c r="L18" s="221">
        <f t="shared" si="1"/>
        <v>3784270.0420520231</v>
      </c>
      <c r="M18" s="222">
        <f t="shared" si="8"/>
        <v>166812.04638728322</v>
      </c>
      <c r="N18" s="223">
        <f t="shared" si="0"/>
        <v>1531.356358381503</v>
      </c>
    </row>
    <row r="19" spans="1:14">
      <c r="A19" s="159" t="s">
        <v>323</v>
      </c>
      <c r="B19" s="160">
        <v>22</v>
      </c>
      <c r="C19" s="217">
        <f>25000+28500+36000+36000+8060+1430+44330+72930+39097.5+66982.5+94380+86190+5021.25+190+3461.25+390+30030+33150+1200+1200+1538406+174840+147840+119487.64+130320+259560+135480+127680+252000+262080+34128.97</f>
        <v>3795365.1100000003</v>
      </c>
      <c r="D19" s="217">
        <f>10856+9452+12466+147501.01</f>
        <v>180275.01</v>
      </c>
      <c r="E19" s="217">
        <f>3282+120</f>
        <v>3402</v>
      </c>
      <c r="F19" s="218">
        <f t="shared" si="2"/>
        <v>9702805.7341040466</v>
      </c>
      <c r="G19" s="219">
        <f t="shared" si="3"/>
        <v>598357.66526011552</v>
      </c>
      <c r="H19" s="220">
        <f t="shared" si="4"/>
        <v>2212001.7184971096</v>
      </c>
      <c r="I19" s="220">
        <f t="shared" si="5"/>
        <v>2717088.5773410406</v>
      </c>
      <c r="J19" s="220">
        <f t="shared" si="6"/>
        <v>61450.069364161849</v>
      </c>
      <c r="K19" s="220">
        <f t="shared" si="7"/>
        <v>908.04046242774541</v>
      </c>
      <c r="L19" s="221">
        <f t="shared" si="1"/>
        <v>19271653.925028898</v>
      </c>
      <c r="M19" s="222">
        <f t="shared" si="8"/>
        <v>733973.00410404615</v>
      </c>
      <c r="N19" s="223">
        <f t="shared" si="0"/>
        <v>6737.9679768786127</v>
      </c>
    </row>
    <row r="20" spans="1:14">
      <c r="A20" s="159" t="s">
        <v>324</v>
      </c>
      <c r="B20" s="160">
        <v>2</v>
      </c>
      <c r="C20" s="161">
        <f>93015+46995+88825+3022.5+92820+12593.75+216000+34128.97</f>
        <v>587400.22</v>
      </c>
      <c r="D20" s="217">
        <f>3316+147501.01</f>
        <v>150817.01</v>
      </c>
      <c r="E20" s="161"/>
      <c r="F20" s="218">
        <f t="shared" si="2"/>
        <v>882073.24855491333</v>
      </c>
      <c r="G20" s="219">
        <f t="shared" si="3"/>
        <v>54396.151387283237</v>
      </c>
      <c r="H20" s="220">
        <f t="shared" si="4"/>
        <v>201091.06531791907</v>
      </c>
      <c r="I20" s="220">
        <f t="shared" si="5"/>
        <v>247008.05248554912</v>
      </c>
      <c r="J20" s="220">
        <f t="shared" si="6"/>
        <v>5586.3699421965321</v>
      </c>
      <c r="K20" s="220">
        <f t="shared" si="7"/>
        <v>82.549132947976844</v>
      </c>
      <c r="L20" s="221">
        <f t="shared" si="1"/>
        <v>2128454.6668208092</v>
      </c>
      <c r="M20" s="222">
        <f t="shared" si="8"/>
        <v>66724.81855491329</v>
      </c>
      <c r="N20" s="223">
        <f t="shared" si="0"/>
        <v>612.54254335260111</v>
      </c>
    </row>
    <row r="21" spans="1:14">
      <c r="A21" s="159" t="s">
        <v>259</v>
      </c>
      <c r="B21" s="160">
        <v>4</v>
      </c>
      <c r="C21" s="217">
        <f>12000+101237.5+136662.5+2400+283440+222200+193680+34128.97</f>
        <v>985748.97</v>
      </c>
      <c r="D21" s="217">
        <f>7832+147501.01</f>
        <v>155333.01</v>
      </c>
      <c r="E21" s="216">
        <f>240+946</f>
        <v>1186</v>
      </c>
      <c r="F21" s="218">
        <f t="shared" si="2"/>
        <v>1764146.4971098267</v>
      </c>
      <c r="G21" s="219">
        <f t="shared" si="3"/>
        <v>108792.30277456647</v>
      </c>
      <c r="H21" s="220">
        <f t="shared" si="4"/>
        <v>402182.13063583814</v>
      </c>
      <c r="I21" s="220">
        <f t="shared" si="5"/>
        <v>494016.10497109825</v>
      </c>
      <c r="J21" s="220">
        <f t="shared" si="6"/>
        <v>11172.739884393064</v>
      </c>
      <c r="K21" s="220">
        <f t="shared" si="7"/>
        <v>165.09826589595369</v>
      </c>
      <c r="L21" s="221">
        <f t="shared" si="1"/>
        <v>3922742.853641619</v>
      </c>
      <c r="M21" s="222">
        <f t="shared" si="8"/>
        <v>133449.63710982658</v>
      </c>
      <c r="N21" s="223">
        <f t="shared" si="0"/>
        <v>1225.0850867052022</v>
      </c>
    </row>
    <row r="22" spans="1:14">
      <c r="A22" s="159" t="s">
        <v>262</v>
      </c>
      <c r="B22" s="160">
        <f>10+1</f>
        <v>11</v>
      </c>
      <c r="C22" s="217">
        <f>48871.91+19256.26+38065.67+29932.5+27950.03+27397.5+85271.91+60206.28+61140.63+100546.91+104975.04+2400+160320+260160+168120+34128.97</f>
        <v>1228743.6100000001</v>
      </c>
      <c r="D22" s="217">
        <f>14106+11320+3000+6400+9680+20960+500+15028+147501.01</f>
        <v>228495.01</v>
      </c>
      <c r="E22" s="216">
        <f>3120+120</f>
        <v>3240</v>
      </c>
      <c r="F22" s="218">
        <f t="shared" si="2"/>
        <v>4851402.8670520233</v>
      </c>
      <c r="G22" s="219">
        <f t="shared" si="3"/>
        <v>299178.83263005776</v>
      </c>
      <c r="H22" s="220">
        <f t="shared" si="4"/>
        <v>1106000.8592485548</v>
      </c>
      <c r="I22" s="220">
        <f t="shared" si="5"/>
        <v>1358544.2886705203</v>
      </c>
      <c r="J22" s="220">
        <f t="shared" si="6"/>
        <v>30725.034682080925</v>
      </c>
      <c r="K22" s="220">
        <f t="shared" si="7"/>
        <v>454.02023121387271</v>
      </c>
      <c r="L22" s="221">
        <f t="shared" si="1"/>
        <v>9106784.5225144513</v>
      </c>
      <c r="M22" s="222">
        <f t="shared" si="8"/>
        <v>366986.50205202308</v>
      </c>
      <c r="N22" s="223">
        <f t="shared" si="0"/>
        <v>3368.9839884393064</v>
      </c>
    </row>
    <row r="23" spans="1:14">
      <c r="A23" s="165" t="s">
        <v>325</v>
      </c>
      <c r="B23" s="160">
        <v>31</v>
      </c>
      <c r="C23" s="217">
        <f>18900+9170+14255+22550+17160+18315+14025+16500+13200+660+825+330+5362.5+57890.64+2315.66+2925.02+2640.67+2600.04+2275.02+2356.29+2396.92+2559.4+2234.4+3656.27+2518.78+27868.75+1820+1200+2400+168240+148560+145560+145920+119160+108480+83467.8+11500+133200+157080+140880+129000+113400+111840+34128.97</f>
        <v>2021327.13</v>
      </c>
      <c r="D23" s="217">
        <f>25426+9950+2500+11020+11080+98230+147501.01</f>
        <v>305707.01</v>
      </c>
      <c r="E23" s="217">
        <f>11110</f>
        <v>11110</v>
      </c>
      <c r="F23" s="218">
        <f t="shared" si="2"/>
        <v>13672135.352601156</v>
      </c>
      <c r="G23" s="219">
        <f t="shared" si="3"/>
        <v>843140.34650289011</v>
      </c>
      <c r="H23" s="220">
        <f t="shared" si="4"/>
        <v>3116911.5124277454</v>
      </c>
      <c r="I23" s="220">
        <f t="shared" si="5"/>
        <v>3828624.8135260115</v>
      </c>
      <c r="J23" s="220">
        <f t="shared" si="6"/>
        <v>86588.734104046249</v>
      </c>
      <c r="K23" s="220">
        <f t="shared" si="7"/>
        <v>1279.5115606936411</v>
      </c>
      <c r="L23" s="221">
        <f t="shared" si="1"/>
        <v>23886824.410722539</v>
      </c>
      <c r="M23" s="222">
        <f t="shared" si="8"/>
        <v>1034234.687601156</v>
      </c>
      <c r="N23" s="223">
        <f t="shared" si="0"/>
        <v>9494.409421965318</v>
      </c>
    </row>
    <row r="24" spans="1:14">
      <c r="A24" s="165" t="s">
        <v>326</v>
      </c>
      <c r="B24" s="160">
        <f>29+12+1+1</f>
        <v>43</v>
      </c>
      <c r="C24" s="217">
        <f>18000+18000+18000+7000+12000+18000+18000+18000+18000+12000+7450+3960+25920+13320+25200+15480+31320+29520+15480+23400+31680+29520+25560+44640+39240+43200+18720+4320+13680+30600+34320+29160+31320+18000+37440+25560+46440+42480+45360+16200+37175+68125+107075+41747.5+66300+53950+26070+29535+26895+25080+31350+24090+25245+21615+29205+28050+16500+7200+10200+7200+235920+226800+216000+108000+224640+216000+235920+238200+238200+97350+144960+144960+129120+119760+104280+104280+34128.97</f>
        <v>4456616.47</v>
      </c>
      <c r="D24" s="217">
        <f>4000+82236.8+98230+35208+9470+67952+3620+10120+101670+23826+6142.68+147501.01</f>
        <v>589976.49</v>
      </c>
      <c r="E24" s="217">
        <f>120+120</f>
        <v>240</v>
      </c>
      <c r="F24" s="218">
        <f t="shared" si="2"/>
        <v>18964574.843930636</v>
      </c>
      <c r="G24" s="219">
        <f t="shared" si="3"/>
        <v>1169517.2548265895</v>
      </c>
      <c r="H24" s="220">
        <f t="shared" si="4"/>
        <v>4323457.9043352595</v>
      </c>
      <c r="I24" s="220">
        <f t="shared" si="5"/>
        <v>5310673.1284393063</v>
      </c>
      <c r="J24" s="220">
        <f t="shared" si="6"/>
        <v>120106.95375722543</v>
      </c>
      <c r="K24" s="220">
        <f t="shared" si="7"/>
        <v>1774.8063583815022</v>
      </c>
      <c r="L24" s="221">
        <f t="shared" si="1"/>
        <v>34936937.851647399</v>
      </c>
      <c r="M24" s="222">
        <f t="shared" si="8"/>
        <v>1434583.5989306357</v>
      </c>
      <c r="N24" s="223">
        <f t="shared" si="0"/>
        <v>13169.664682080926</v>
      </c>
    </row>
    <row r="25" spans="1:14">
      <c r="A25" s="165" t="s">
        <v>327</v>
      </c>
      <c r="B25" s="160">
        <v>5</v>
      </c>
      <c r="C25" s="217">
        <f>74100+86450+12000+83200+69550+84500+93600+92950+84500+87100+63050+29250+47450+76050+24225+23400+72800+74750+68900+89925+54950+74100+48100+60450+65650+74100+26000+5850+4800+1500+187200+34128.97</f>
        <v>1974578.97</v>
      </c>
      <c r="D25" s="217">
        <f>54904+47796+35404+147501.01</f>
        <v>285605.01</v>
      </c>
      <c r="E25" s="217">
        <f>20819+6300+480+10050+120+120</f>
        <v>37889</v>
      </c>
      <c r="F25" s="218">
        <f t="shared" si="2"/>
        <v>2205183.1213872833</v>
      </c>
      <c r="G25" s="219">
        <f t="shared" si="3"/>
        <v>135990.37846820807</v>
      </c>
      <c r="H25" s="220">
        <f t="shared" si="4"/>
        <v>502727.66329479771</v>
      </c>
      <c r="I25" s="220">
        <f t="shared" si="5"/>
        <v>617520.13121387281</v>
      </c>
      <c r="J25" s="220">
        <f t="shared" si="6"/>
        <v>13965.92485549133</v>
      </c>
      <c r="K25" s="220">
        <f t="shared" si="7"/>
        <v>206.3728323699421</v>
      </c>
      <c r="L25" s="221">
        <f t="shared" si="1"/>
        <v>5773666.5720520224</v>
      </c>
      <c r="M25" s="222">
        <f t="shared" si="8"/>
        <v>166812.04638728322</v>
      </c>
      <c r="N25" s="223">
        <f t="shared" si="0"/>
        <v>1531.356358381503</v>
      </c>
    </row>
    <row r="26" spans="1:14" ht="18.75" customHeight="1">
      <c r="A26" s="165" t="s">
        <v>328</v>
      </c>
      <c r="B26" s="160">
        <v>1</v>
      </c>
      <c r="C26" s="216">
        <f>1200+34128.97</f>
        <v>35328.97</v>
      </c>
      <c r="D26" s="217">
        <f>35796+147501.01</f>
        <v>183297.01</v>
      </c>
      <c r="E26" s="216">
        <f>120</f>
        <v>120</v>
      </c>
      <c r="F26" s="218">
        <f t="shared" si="2"/>
        <v>441036.62427745666</v>
      </c>
      <c r="G26" s="219">
        <f t="shared" si="3"/>
        <v>27198.075693641618</v>
      </c>
      <c r="H26" s="220">
        <f t="shared" si="4"/>
        <v>100545.53265895954</v>
      </c>
      <c r="I26" s="220">
        <f t="shared" si="5"/>
        <v>123504.02624277456</v>
      </c>
      <c r="J26" s="220">
        <f t="shared" si="6"/>
        <v>2793.184971098266</v>
      </c>
      <c r="K26" s="220">
        <f t="shared" si="7"/>
        <v>41.274566473988422</v>
      </c>
      <c r="L26" s="221">
        <f t="shared" si="1"/>
        <v>913864.69841040473</v>
      </c>
      <c r="M26" s="222">
        <f t="shared" si="8"/>
        <v>33362.409277456645</v>
      </c>
      <c r="N26" s="223">
        <f t="shared" si="0"/>
        <v>306.27127167630056</v>
      </c>
    </row>
    <row r="27" spans="1:14" ht="15.75" customHeight="1">
      <c r="A27" s="165" t="s">
        <v>329</v>
      </c>
      <c r="B27" s="160">
        <v>10</v>
      </c>
      <c r="C27" s="217">
        <f>28440+32400+1520+37800+41040+35400+41400+42480+51350+48100+55050+59800+44850+35750+60450+59800+6000+150360+172560+34128.97</f>
        <v>1038678.97</v>
      </c>
      <c r="D27" s="217">
        <f>37930+27874+147501.01</f>
        <v>213305.01</v>
      </c>
      <c r="E27" s="217">
        <f>360</f>
        <v>360</v>
      </c>
      <c r="F27" s="218">
        <f t="shared" si="2"/>
        <v>4410366.2427745666</v>
      </c>
      <c r="G27" s="219">
        <f t="shared" si="3"/>
        <v>271980.75693641615</v>
      </c>
      <c r="H27" s="220">
        <f t="shared" si="4"/>
        <v>1005455.3265895954</v>
      </c>
      <c r="I27" s="220">
        <f t="shared" si="5"/>
        <v>1235040.2624277456</v>
      </c>
      <c r="J27" s="220">
        <f t="shared" si="6"/>
        <v>27931.84971098266</v>
      </c>
      <c r="K27" s="220">
        <f t="shared" si="7"/>
        <v>412.74566473988421</v>
      </c>
      <c r="L27" s="221">
        <f t="shared" si="1"/>
        <v>8203531.1641040463</v>
      </c>
      <c r="M27" s="222">
        <f t="shared" si="8"/>
        <v>333624.09277456644</v>
      </c>
      <c r="N27" s="223">
        <f t="shared" si="0"/>
        <v>3062.712716763006</v>
      </c>
    </row>
    <row r="28" spans="1:14" ht="18" customHeight="1">
      <c r="A28" s="165" t="s">
        <v>330</v>
      </c>
      <c r="B28" s="160">
        <v>16</v>
      </c>
      <c r="C28" s="217">
        <f>46150+8450+72800+66950+45500+46150+55900+55250+58500+46800+18480+18810+20130+1650+137640+134280+129120+108480+34128.97</f>
        <v>1105168.97</v>
      </c>
      <c r="D28" s="217">
        <f>27152.68+5500+25867.68+34720+3000+3000+16327.68+6142.68+6142.68+147501.01</f>
        <v>275354.41000000003</v>
      </c>
      <c r="E28" s="216">
        <f>160+120+120</f>
        <v>400</v>
      </c>
      <c r="F28" s="218">
        <f t="shared" si="2"/>
        <v>7056585.9884393066</v>
      </c>
      <c r="G28" s="219">
        <f t="shared" si="3"/>
        <v>435169.21109826589</v>
      </c>
      <c r="H28" s="220">
        <f t="shared" si="4"/>
        <v>1608728.5225433526</v>
      </c>
      <c r="I28" s="220">
        <f t="shared" si="5"/>
        <v>1976064.419884393</v>
      </c>
      <c r="J28" s="220">
        <f t="shared" si="6"/>
        <v>44690.959537572257</v>
      </c>
      <c r="K28" s="220">
        <f t="shared" si="7"/>
        <v>660.39306358381475</v>
      </c>
      <c r="L28" s="221">
        <f t="shared" si="1"/>
        <v>12502822.874566475</v>
      </c>
      <c r="M28" s="222">
        <f t="shared" si="8"/>
        <v>533798.54843930632</v>
      </c>
      <c r="N28" s="223">
        <f t="shared" si="0"/>
        <v>4900.3403468208089</v>
      </c>
    </row>
    <row r="29" spans="1:14">
      <c r="A29" s="165" t="s">
        <v>331</v>
      </c>
      <c r="B29" s="160">
        <v>6</v>
      </c>
      <c r="C29" s="216">
        <f>8670+5825+8700+13505+2290+34128.97</f>
        <v>73118.97</v>
      </c>
      <c r="D29" s="217">
        <f>8636+2114+2114+147501.01</f>
        <v>160365.01</v>
      </c>
      <c r="E29" s="216"/>
      <c r="F29" s="218">
        <f t="shared" si="2"/>
        <v>2646219.74566474</v>
      </c>
      <c r="G29" s="219">
        <f t="shared" si="3"/>
        <v>163188.45416184972</v>
      </c>
      <c r="H29" s="220">
        <f t="shared" si="4"/>
        <v>603273.19595375715</v>
      </c>
      <c r="I29" s="220">
        <f t="shared" si="5"/>
        <v>741024.15745664737</v>
      </c>
      <c r="J29" s="220">
        <f t="shared" si="6"/>
        <v>16759.109826589596</v>
      </c>
      <c r="K29" s="220">
        <f t="shared" si="7"/>
        <v>247.64739884393055</v>
      </c>
      <c r="L29" s="221">
        <f t="shared" si="1"/>
        <v>4404196.2904624287</v>
      </c>
      <c r="M29" s="222">
        <f t="shared" si="8"/>
        <v>200174.45566473989</v>
      </c>
      <c r="N29" s="223">
        <f t="shared" si="0"/>
        <v>1837.6276300578036</v>
      </c>
    </row>
    <row r="30" spans="1:14" ht="18.75" customHeight="1">
      <c r="A30" s="165" t="s">
        <v>278</v>
      </c>
      <c r="B30" s="160">
        <f>6+1</f>
        <v>7</v>
      </c>
      <c r="C30" s="217">
        <f>93600+29900+90720+14554.83+34128.97</f>
        <v>262903.8</v>
      </c>
      <c r="D30" s="217">
        <f>18960+43136+28390+147501.01</f>
        <v>237987.01</v>
      </c>
      <c r="E30" s="216">
        <f>40</f>
        <v>40</v>
      </c>
      <c r="F30" s="218">
        <f t="shared" si="2"/>
        <v>3087256.3699421966</v>
      </c>
      <c r="G30" s="219">
        <f t="shared" si="3"/>
        <v>190386.52985549133</v>
      </c>
      <c r="H30" s="220">
        <f t="shared" si="4"/>
        <v>703818.72861271666</v>
      </c>
      <c r="I30" s="220">
        <f t="shared" si="5"/>
        <v>864528.18369942193</v>
      </c>
      <c r="J30" s="220">
        <f t="shared" si="6"/>
        <v>19552.29479768786</v>
      </c>
      <c r="K30" s="220">
        <f t="shared" si="7"/>
        <v>288.92196531791893</v>
      </c>
      <c r="L30" s="221">
        <f t="shared" si="1"/>
        <v>5366761.8388728313</v>
      </c>
      <c r="M30" s="222">
        <f t="shared" si="8"/>
        <v>233536.86494219652</v>
      </c>
      <c r="N30" s="223">
        <f t="shared" si="0"/>
        <v>2143.8989017341041</v>
      </c>
    </row>
    <row r="31" spans="1:14" ht="15" customHeight="1">
      <c r="A31" s="165" t="s">
        <v>332</v>
      </c>
      <c r="B31" s="160">
        <v>8</v>
      </c>
      <c r="C31" s="217">
        <f>34625+625+59450+3125+1875+1625+100+3190+1600+2400+108480+226800+34128.97</f>
        <v>478023.97</v>
      </c>
      <c r="D31" s="217">
        <f>21805+8840+400+9110+8840+73251+9190+147501.01</f>
        <v>278937.01</v>
      </c>
      <c r="E31" s="161">
        <f>10010</f>
        <v>10010</v>
      </c>
      <c r="F31" s="218">
        <f t="shared" si="2"/>
        <v>3528292.9942196533</v>
      </c>
      <c r="G31" s="219">
        <f t="shared" si="3"/>
        <v>217584.60554913295</v>
      </c>
      <c r="H31" s="220">
        <f t="shared" si="4"/>
        <v>804364.26127167628</v>
      </c>
      <c r="I31" s="220">
        <f t="shared" si="5"/>
        <v>988032.2099421965</v>
      </c>
      <c r="J31" s="220">
        <f t="shared" si="6"/>
        <v>22345.479768786128</v>
      </c>
      <c r="K31" s="220">
        <f t="shared" si="7"/>
        <v>330.19653179190738</v>
      </c>
      <c r="L31" s="221">
        <f t="shared" si="1"/>
        <v>6327920.7272832384</v>
      </c>
      <c r="M31" s="222">
        <f t="shared" si="8"/>
        <v>266899.27421965316</v>
      </c>
      <c r="N31" s="223">
        <f t="shared" si="0"/>
        <v>2450.1701734104045</v>
      </c>
    </row>
    <row r="32" spans="1:14" ht="17.25" customHeight="1">
      <c r="A32" s="165" t="s">
        <v>282</v>
      </c>
      <c r="B32" s="160">
        <v>2</v>
      </c>
      <c r="C32" s="217">
        <f>123240+108480+34128.97</f>
        <v>265848.96999999997</v>
      </c>
      <c r="D32" s="217">
        <f>7861+1247501.01</f>
        <v>1255362.01</v>
      </c>
      <c r="E32" s="161"/>
      <c r="F32" s="218">
        <f t="shared" si="2"/>
        <v>882073.24855491333</v>
      </c>
      <c r="G32" s="219">
        <f t="shared" si="3"/>
        <v>54396.151387283237</v>
      </c>
      <c r="H32" s="220">
        <f t="shared" si="4"/>
        <v>201091.06531791907</v>
      </c>
      <c r="I32" s="220">
        <f t="shared" si="5"/>
        <v>247008.05248554912</v>
      </c>
      <c r="J32" s="220">
        <f t="shared" si="6"/>
        <v>5586.3699421965321</v>
      </c>
      <c r="K32" s="220">
        <f t="shared" si="7"/>
        <v>82.549132947976844</v>
      </c>
      <c r="L32" s="221">
        <f t="shared" si="1"/>
        <v>2911448.4168208092</v>
      </c>
      <c r="M32" s="222">
        <f t="shared" si="8"/>
        <v>66724.81855491329</v>
      </c>
      <c r="N32" s="223">
        <f t="shared" si="0"/>
        <v>612.54254335260111</v>
      </c>
    </row>
    <row r="33" spans="1:14">
      <c r="A33" s="159" t="s">
        <v>333</v>
      </c>
      <c r="B33" s="160">
        <v>10</v>
      </c>
      <c r="C33" s="217">
        <f>44200+51837.5+15762.5+19337.5+14625+15662.5+19517.5+29412.5+14300+1200+34128.97</f>
        <v>259983.97</v>
      </c>
      <c r="D33" s="217">
        <f>11120+13035+50000+13035+147501.01</f>
        <v>234691.01</v>
      </c>
      <c r="E33" s="216"/>
      <c r="F33" s="218">
        <f t="shared" si="2"/>
        <v>4410366.2427745666</v>
      </c>
      <c r="G33" s="219">
        <f t="shared" si="3"/>
        <v>271980.75693641615</v>
      </c>
      <c r="H33" s="220">
        <f t="shared" si="4"/>
        <v>1005455.3265895954</v>
      </c>
      <c r="I33" s="220">
        <f t="shared" si="5"/>
        <v>1235040.2624277456</v>
      </c>
      <c r="J33" s="220">
        <f t="shared" si="6"/>
        <v>27931.84971098266</v>
      </c>
      <c r="K33" s="220">
        <f t="shared" si="7"/>
        <v>412.74566473988421</v>
      </c>
      <c r="L33" s="221">
        <f t="shared" si="1"/>
        <v>7445862.1641040463</v>
      </c>
      <c r="M33" s="222">
        <f t="shared" si="8"/>
        <v>333624.09277456644</v>
      </c>
      <c r="N33" s="223">
        <f t="shared" si="0"/>
        <v>3062.712716763006</v>
      </c>
    </row>
    <row r="34" spans="1:14">
      <c r="A34" s="159" t="s">
        <v>1546</v>
      </c>
      <c r="B34" s="160">
        <v>1</v>
      </c>
      <c r="C34" s="217">
        <f>19256.25+238200+34128.97</f>
        <v>291585.21999999997</v>
      </c>
      <c r="D34" s="217"/>
      <c r="E34" s="216">
        <f>240</f>
        <v>240</v>
      </c>
      <c r="F34" s="218">
        <f t="shared" si="2"/>
        <v>441036.62427745666</v>
      </c>
      <c r="G34" s="219">
        <f t="shared" si="3"/>
        <v>27198.075693641618</v>
      </c>
      <c r="H34" s="220">
        <f t="shared" si="4"/>
        <v>100545.53265895954</v>
      </c>
      <c r="I34" s="220">
        <f t="shared" si="5"/>
        <v>123504.02624277456</v>
      </c>
      <c r="J34" s="220">
        <f t="shared" si="6"/>
        <v>2793.184971098266</v>
      </c>
      <c r="K34" s="220">
        <f t="shared" si="7"/>
        <v>41.274566473988422</v>
      </c>
      <c r="L34" s="221">
        <f t="shared" si="1"/>
        <v>986943.93841040472</v>
      </c>
      <c r="M34" s="222">
        <f t="shared" si="8"/>
        <v>33362.409277456645</v>
      </c>
      <c r="N34" s="223">
        <f t="shared" si="0"/>
        <v>306.27127167630056</v>
      </c>
    </row>
    <row r="35" spans="1:14">
      <c r="A35" s="167" t="s">
        <v>288</v>
      </c>
      <c r="B35" s="160"/>
      <c r="C35" s="217"/>
      <c r="D35" s="217"/>
      <c r="E35" s="217"/>
      <c r="F35" s="218"/>
      <c r="G35" s="219"/>
      <c r="H35" s="220"/>
      <c r="I35" s="220"/>
      <c r="J35" s="220"/>
      <c r="K35" s="220"/>
      <c r="L35" s="221">
        <f t="shared" si="1"/>
        <v>0</v>
      </c>
      <c r="M35" s="222"/>
      <c r="N35" s="223">
        <f t="shared" si="0"/>
        <v>0</v>
      </c>
    </row>
    <row r="36" spans="1:14">
      <c r="A36" s="159" t="s">
        <v>334</v>
      </c>
      <c r="B36" s="160">
        <v>1</v>
      </c>
      <c r="C36" s="216">
        <f>3000+8700+34128.97</f>
        <v>45828.97</v>
      </c>
      <c r="D36" s="217">
        <f>43316+147501.01</f>
        <v>190817.01</v>
      </c>
      <c r="E36" s="161">
        <f>200099.15+72172</f>
        <v>272271.15000000002</v>
      </c>
      <c r="F36" s="218">
        <f t="shared" ref="F36:F56" si="9">+$F$5*B36/$B$58</f>
        <v>441036.62427745666</v>
      </c>
      <c r="G36" s="219">
        <f t="shared" ref="G36:G57" si="10">+$G$5*B36/$B$58</f>
        <v>27198.075693641618</v>
      </c>
      <c r="H36" s="220">
        <f t="shared" ref="H36:H57" si="11">+$H$5*B36/$B$58</f>
        <v>100545.53265895954</v>
      </c>
      <c r="I36" s="220">
        <f t="shared" ref="I36:I57" si="12">+$I$5*B36/$B$58</f>
        <v>123504.02624277456</v>
      </c>
      <c r="J36" s="220">
        <f t="shared" ref="J36:J57" si="13">+$J$5*B36/$B$58</f>
        <v>2793.184971098266</v>
      </c>
      <c r="K36" s="220">
        <f t="shared" ref="K36:K57" si="14">+$K$5*F36/$F$58</f>
        <v>41.274566473988422</v>
      </c>
      <c r="L36" s="221">
        <f t="shared" si="1"/>
        <v>1204035.8484104048</v>
      </c>
      <c r="M36" s="222">
        <f t="shared" ref="M36:M57" si="15">+$M$5*B36/$B$58</f>
        <v>33362.409277456645</v>
      </c>
      <c r="N36" s="223">
        <f t="shared" si="0"/>
        <v>306.27127167630056</v>
      </c>
    </row>
    <row r="37" spans="1:14">
      <c r="A37" s="159" t="s">
        <v>534</v>
      </c>
      <c r="B37" s="160">
        <v>1</v>
      </c>
      <c r="C37" s="161">
        <f>21300+34128.97</f>
        <v>55428.97</v>
      </c>
      <c r="D37" s="161">
        <f>51460+147501.01</f>
        <v>198961.01</v>
      </c>
      <c r="E37" s="161">
        <f>1650+120</f>
        <v>1770</v>
      </c>
      <c r="F37" s="218">
        <f t="shared" si="9"/>
        <v>441036.62427745666</v>
      </c>
      <c r="G37" s="219">
        <f t="shared" si="10"/>
        <v>27198.075693641618</v>
      </c>
      <c r="H37" s="220">
        <f t="shared" si="11"/>
        <v>100545.53265895954</v>
      </c>
      <c r="I37" s="220">
        <f t="shared" si="12"/>
        <v>123504.02624277456</v>
      </c>
      <c r="J37" s="220">
        <f t="shared" si="13"/>
        <v>2793.184971098266</v>
      </c>
      <c r="K37" s="220">
        <f t="shared" si="14"/>
        <v>41.274566473988422</v>
      </c>
      <c r="L37" s="221">
        <f t="shared" si="1"/>
        <v>951278.69841040473</v>
      </c>
      <c r="M37" s="222">
        <f t="shared" si="15"/>
        <v>33362.409277456645</v>
      </c>
      <c r="N37" s="223">
        <f t="shared" si="0"/>
        <v>306.27127167630056</v>
      </c>
    </row>
    <row r="38" spans="1:14">
      <c r="A38" s="159" t="s">
        <v>336</v>
      </c>
      <c r="B38" s="160">
        <v>6</v>
      </c>
      <c r="C38" s="217">
        <f>13590+1250+32060+1810+2030+5050+1320+1320+1650+1650+1650+1320+1320+1650+1650+1320+4800+54520+233640+146560+34128.97</f>
        <v>544288.97</v>
      </c>
      <c r="D38" s="217">
        <f>17252+147501.01</f>
        <v>164753.01</v>
      </c>
      <c r="E38" s="217">
        <f>985+120+120+985</f>
        <v>2210</v>
      </c>
      <c r="F38" s="218">
        <f t="shared" si="9"/>
        <v>2646219.74566474</v>
      </c>
      <c r="G38" s="219">
        <f t="shared" si="10"/>
        <v>163188.45416184972</v>
      </c>
      <c r="H38" s="220">
        <f t="shared" si="11"/>
        <v>603273.19595375715</v>
      </c>
      <c r="I38" s="220">
        <f t="shared" si="12"/>
        <v>741024.15745664737</v>
      </c>
      <c r="J38" s="220">
        <f t="shared" si="13"/>
        <v>16759.109826589596</v>
      </c>
      <c r="K38" s="220">
        <f t="shared" si="14"/>
        <v>247.64739884393055</v>
      </c>
      <c r="L38" s="221">
        <f t="shared" si="1"/>
        <v>4881964.2904624287</v>
      </c>
      <c r="M38" s="222">
        <f t="shared" si="15"/>
        <v>200174.45566473989</v>
      </c>
      <c r="N38" s="223">
        <f t="shared" si="0"/>
        <v>1837.6276300578036</v>
      </c>
    </row>
    <row r="39" spans="1:14">
      <c r="A39" s="159" t="s">
        <v>337</v>
      </c>
      <c r="B39" s="160">
        <v>3</v>
      </c>
      <c r="C39" s="217">
        <f>24956.25+57543.75+77838.75+24420+23553.75+20790+185400+119160+34128.97</f>
        <v>567791.47</v>
      </c>
      <c r="D39" s="217">
        <f>240+3440+4890+480+147501.01</f>
        <v>156551.01</v>
      </c>
      <c r="E39" s="217">
        <f>240+7945+3160+3040+1440+2410</f>
        <v>18235</v>
      </c>
      <c r="F39" s="218">
        <f t="shared" si="9"/>
        <v>1323109.87283237</v>
      </c>
      <c r="G39" s="219">
        <f t="shared" si="10"/>
        <v>81594.227080924858</v>
      </c>
      <c r="H39" s="220">
        <f t="shared" si="11"/>
        <v>301636.59797687858</v>
      </c>
      <c r="I39" s="220">
        <f t="shared" si="12"/>
        <v>370512.07872832369</v>
      </c>
      <c r="J39" s="220">
        <f t="shared" si="13"/>
        <v>8379.5549132947981</v>
      </c>
      <c r="K39" s="220">
        <f t="shared" si="14"/>
        <v>123.82369942196527</v>
      </c>
      <c r="L39" s="221">
        <f t="shared" si="1"/>
        <v>2827933.6352312146</v>
      </c>
      <c r="M39" s="222">
        <f t="shared" si="15"/>
        <v>100087.22783236994</v>
      </c>
      <c r="N39" s="223">
        <f t="shared" ref="N39:N57" si="16">+$N$5*B39/$B$58</f>
        <v>918.81381502890179</v>
      </c>
    </row>
    <row r="40" spans="1:14">
      <c r="A40" s="159" t="s">
        <v>1485</v>
      </c>
      <c r="B40" s="160">
        <f>5+1</f>
        <v>6</v>
      </c>
      <c r="C40" s="217">
        <f>51060+47280+51150+46680+48210+60110+1200+3600+4800+144960+274320+34128.97</f>
        <v>767498.97</v>
      </c>
      <c r="D40" s="217">
        <f>16072+147501.01</f>
        <v>163573.01</v>
      </c>
      <c r="E40" s="216">
        <f>120</f>
        <v>120</v>
      </c>
      <c r="F40" s="218">
        <f t="shared" si="9"/>
        <v>2646219.74566474</v>
      </c>
      <c r="G40" s="219">
        <f t="shared" si="10"/>
        <v>163188.45416184972</v>
      </c>
      <c r="H40" s="220">
        <f t="shared" si="11"/>
        <v>603273.19595375715</v>
      </c>
      <c r="I40" s="220">
        <f t="shared" si="12"/>
        <v>741024.15745664737</v>
      </c>
      <c r="J40" s="220">
        <f t="shared" si="13"/>
        <v>16759.109826589596</v>
      </c>
      <c r="K40" s="220">
        <f t="shared" si="14"/>
        <v>247.64739884393055</v>
      </c>
      <c r="L40" s="221">
        <f t="shared" si="1"/>
        <v>5101904.2904624287</v>
      </c>
      <c r="M40" s="222">
        <f t="shared" si="15"/>
        <v>200174.45566473989</v>
      </c>
      <c r="N40" s="223">
        <f t="shared" si="16"/>
        <v>1837.6276300578036</v>
      </c>
    </row>
    <row r="41" spans="1:14">
      <c r="A41" s="159" t="s">
        <v>496</v>
      </c>
      <c r="B41" s="160">
        <v>9</v>
      </c>
      <c r="C41" s="217">
        <f>14540+5830+37340+8980+17915+10460+940+23130+10880+13180+208560+180000+145279+180000+157320+34128.97</f>
        <v>1048482.97</v>
      </c>
      <c r="D41" s="217">
        <f>8920+4606+8256+20580+8256+147501.01</f>
        <v>198119.01</v>
      </c>
      <c r="E41" s="216"/>
      <c r="F41" s="218">
        <f t="shared" si="9"/>
        <v>3969329.61849711</v>
      </c>
      <c r="G41" s="219">
        <f t="shared" si="10"/>
        <v>244782.68124277456</v>
      </c>
      <c r="H41" s="220">
        <f t="shared" si="11"/>
        <v>904909.79393063579</v>
      </c>
      <c r="I41" s="220">
        <f t="shared" si="12"/>
        <v>1111536.2361849709</v>
      </c>
      <c r="J41" s="220">
        <f t="shared" si="13"/>
        <v>25138.664739884392</v>
      </c>
      <c r="K41" s="220">
        <f t="shared" si="14"/>
        <v>371.47109826589582</v>
      </c>
      <c r="L41" s="221">
        <f t="shared" si="1"/>
        <v>7502670.445693641</v>
      </c>
      <c r="M41" s="222">
        <f t="shared" si="15"/>
        <v>300261.6834971098</v>
      </c>
      <c r="N41" s="223">
        <f t="shared" si="16"/>
        <v>2756.4414450867052</v>
      </c>
    </row>
    <row r="42" spans="1:14">
      <c r="A42" s="159" t="s">
        <v>526</v>
      </c>
      <c r="B42" s="160">
        <v>7</v>
      </c>
      <c r="C42" s="217">
        <f>7210+27900+41290+13540+1900+10520+3010+620+216480+163080+196560+194760+34128.97</f>
        <v>910998.97</v>
      </c>
      <c r="D42" s="217">
        <f>13532+9460+11522+6566+15846+147501.01</f>
        <v>204427.01</v>
      </c>
      <c r="E42" s="216">
        <f>14482+985+985</f>
        <v>16452</v>
      </c>
      <c r="F42" s="218">
        <f t="shared" si="9"/>
        <v>3087256.3699421966</v>
      </c>
      <c r="G42" s="219">
        <f t="shared" si="10"/>
        <v>190386.52985549133</v>
      </c>
      <c r="H42" s="220">
        <f t="shared" si="11"/>
        <v>703818.72861271666</v>
      </c>
      <c r="I42" s="220">
        <f t="shared" si="12"/>
        <v>864528.18369942193</v>
      </c>
      <c r="J42" s="220">
        <f t="shared" si="13"/>
        <v>19552.29479768786</v>
      </c>
      <c r="K42" s="220">
        <f t="shared" si="14"/>
        <v>288.92196531791893</v>
      </c>
      <c r="L42" s="221">
        <f t="shared" si="1"/>
        <v>5997709.0088728312</v>
      </c>
      <c r="M42" s="222">
        <f t="shared" si="15"/>
        <v>233536.86494219652</v>
      </c>
      <c r="N42" s="223">
        <f t="shared" si="16"/>
        <v>2143.8989017341041</v>
      </c>
    </row>
    <row r="43" spans="1:14">
      <c r="A43" s="159" t="s">
        <v>1459</v>
      </c>
      <c r="B43" s="160">
        <v>3</v>
      </c>
      <c r="C43" s="217">
        <f>191040+34128.97</f>
        <v>225168.97</v>
      </c>
      <c r="D43" s="217">
        <f>33262+9196+3496+147501.01</f>
        <v>193455.01</v>
      </c>
      <c r="E43" s="217">
        <f>3264+3786</f>
        <v>7050</v>
      </c>
      <c r="F43" s="218">
        <f t="shared" si="9"/>
        <v>1323109.87283237</v>
      </c>
      <c r="G43" s="219">
        <f t="shared" si="10"/>
        <v>81594.227080924858</v>
      </c>
      <c r="H43" s="220">
        <f t="shared" si="11"/>
        <v>301636.59797687858</v>
      </c>
      <c r="I43" s="220">
        <f t="shared" si="12"/>
        <v>370512.07872832369</v>
      </c>
      <c r="J43" s="220">
        <f t="shared" si="13"/>
        <v>8379.5549132947981</v>
      </c>
      <c r="K43" s="220">
        <f t="shared" si="14"/>
        <v>123.82369942196527</v>
      </c>
      <c r="L43" s="221">
        <f t="shared" si="1"/>
        <v>2511030.1352312146</v>
      </c>
      <c r="M43" s="222">
        <f t="shared" si="15"/>
        <v>100087.22783236994</v>
      </c>
      <c r="N43" s="223">
        <f t="shared" si="16"/>
        <v>918.81381502890179</v>
      </c>
    </row>
    <row r="44" spans="1:14">
      <c r="A44" s="95" t="s">
        <v>1537</v>
      </c>
      <c r="B44" s="160">
        <v>7</v>
      </c>
      <c r="C44" s="217">
        <f>26940+11476.28+1450+7750+9987.5+10261.28+2876.88+1200+267720+173400+169320+149280+146520+192840+34128.97</f>
        <v>1205150.9099999999</v>
      </c>
      <c r="D44" s="217">
        <f>20520+147501.01</f>
        <v>168021.01</v>
      </c>
      <c r="E44" s="217">
        <f>840+120+480</f>
        <v>1440</v>
      </c>
      <c r="F44" s="218">
        <f t="shared" si="9"/>
        <v>3087256.3699421966</v>
      </c>
      <c r="G44" s="219">
        <f t="shared" si="10"/>
        <v>190386.52985549133</v>
      </c>
      <c r="H44" s="220">
        <f t="shared" si="11"/>
        <v>703818.72861271666</v>
      </c>
      <c r="I44" s="220">
        <f t="shared" si="12"/>
        <v>864528.18369942193</v>
      </c>
      <c r="J44" s="220">
        <f t="shared" si="13"/>
        <v>19552.29479768786</v>
      </c>
      <c r="K44" s="220">
        <f t="shared" si="14"/>
        <v>288.92196531791893</v>
      </c>
      <c r="L44" s="221">
        <f t="shared" si="1"/>
        <v>6240442.9488728317</v>
      </c>
      <c r="M44" s="222">
        <f t="shared" si="15"/>
        <v>233536.86494219652</v>
      </c>
      <c r="N44" s="223">
        <f t="shared" si="16"/>
        <v>2143.8989017341041</v>
      </c>
    </row>
    <row r="45" spans="1:14">
      <c r="A45" s="159" t="s">
        <v>501</v>
      </c>
      <c r="B45" s="160">
        <v>1</v>
      </c>
      <c r="C45" s="216">
        <f>2050+34128.97</f>
        <v>36178.97</v>
      </c>
      <c r="D45" s="217">
        <f>7766+147501.01</f>
        <v>155267.01</v>
      </c>
      <c r="E45" s="216">
        <f>5200</f>
        <v>5200</v>
      </c>
      <c r="F45" s="218">
        <f t="shared" si="9"/>
        <v>441036.62427745666</v>
      </c>
      <c r="G45" s="219">
        <f t="shared" si="10"/>
        <v>27198.075693641618</v>
      </c>
      <c r="H45" s="220">
        <f t="shared" si="11"/>
        <v>100545.53265895954</v>
      </c>
      <c r="I45" s="220">
        <f t="shared" si="12"/>
        <v>123504.02624277456</v>
      </c>
      <c r="J45" s="220">
        <f t="shared" si="13"/>
        <v>2793.184971098266</v>
      </c>
      <c r="K45" s="220">
        <f t="shared" si="14"/>
        <v>41.274566473988422</v>
      </c>
      <c r="L45" s="221">
        <f t="shared" si="1"/>
        <v>891764.69841040473</v>
      </c>
      <c r="M45" s="222">
        <f t="shared" si="15"/>
        <v>33362.409277456645</v>
      </c>
      <c r="N45" s="223">
        <f t="shared" si="16"/>
        <v>306.27127167630056</v>
      </c>
    </row>
    <row r="46" spans="1:14">
      <c r="A46" s="159" t="s">
        <v>293</v>
      </c>
      <c r="B46" s="160">
        <v>2</v>
      </c>
      <c r="C46" s="217">
        <f>14870+1790+55740+134516.13+34128.97</f>
        <v>241045.1</v>
      </c>
      <c r="D46" s="217"/>
      <c r="E46" s="216">
        <f>120+1040</f>
        <v>1160</v>
      </c>
      <c r="F46" s="218">
        <f t="shared" si="9"/>
        <v>882073.24855491333</v>
      </c>
      <c r="G46" s="219">
        <f t="shared" si="10"/>
        <v>54396.151387283237</v>
      </c>
      <c r="H46" s="220">
        <f t="shared" si="11"/>
        <v>201091.06531791907</v>
      </c>
      <c r="I46" s="220">
        <f t="shared" si="12"/>
        <v>247008.05248554912</v>
      </c>
      <c r="J46" s="220">
        <f t="shared" si="13"/>
        <v>5586.3699421965321</v>
      </c>
      <c r="K46" s="220">
        <f t="shared" si="14"/>
        <v>82.549132947976844</v>
      </c>
      <c r="L46" s="221">
        <f t="shared" si="1"/>
        <v>1632442.5368208096</v>
      </c>
      <c r="M46" s="222">
        <f t="shared" si="15"/>
        <v>66724.81855491329</v>
      </c>
      <c r="N46" s="223">
        <f t="shared" si="16"/>
        <v>612.54254335260111</v>
      </c>
    </row>
    <row r="47" spans="1:14">
      <c r="A47" s="159" t="s">
        <v>294</v>
      </c>
      <c r="B47" s="160">
        <v>2</v>
      </c>
      <c r="C47" s="217">
        <f>6650+1340+170760+34128.97</f>
        <v>212878.97</v>
      </c>
      <c r="D47" s="217"/>
      <c r="E47" s="217"/>
      <c r="F47" s="218">
        <f t="shared" si="9"/>
        <v>882073.24855491333</v>
      </c>
      <c r="G47" s="219">
        <f t="shared" si="10"/>
        <v>54396.151387283237</v>
      </c>
      <c r="H47" s="220">
        <f t="shared" si="11"/>
        <v>201091.06531791907</v>
      </c>
      <c r="I47" s="220">
        <f t="shared" si="12"/>
        <v>247008.05248554912</v>
      </c>
      <c r="J47" s="220">
        <f t="shared" si="13"/>
        <v>5586.3699421965321</v>
      </c>
      <c r="K47" s="220">
        <f t="shared" si="14"/>
        <v>82.549132947976844</v>
      </c>
      <c r="L47" s="221">
        <f t="shared" si="1"/>
        <v>1603116.4068208095</v>
      </c>
      <c r="M47" s="222">
        <f t="shared" si="15"/>
        <v>66724.81855491329</v>
      </c>
      <c r="N47" s="223">
        <f t="shared" si="16"/>
        <v>612.54254335260111</v>
      </c>
    </row>
    <row r="48" spans="1:14">
      <c r="A48" s="159" t="s">
        <v>343</v>
      </c>
      <c r="B48" s="160">
        <v>4</v>
      </c>
      <c r="C48" s="217">
        <f>165000+15000+192480+144960+55645.22+34128.97</f>
        <v>607214.18999999994</v>
      </c>
      <c r="D48" s="217">
        <f>10366+147501.01</f>
        <v>157867.01</v>
      </c>
      <c r="E48" s="216">
        <f>120</f>
        <v>120</v>
      </c>
      <c r="F48" s="218">
        <f t="shared" si="9"/>
        <v>1764146.4971098267</v>
      </c>
      <c r="G48" s="219">
        <f t="shared" si="10"/>
        <v>108792.30277456647</v>
      </c>
      <c r="H48" s="220">
        <f t="shared" si="11"/>
        <v>402182.13063583814</v>
      </c>
      <c r="I48" s="220">
        <f t="shared" si="12"/>
        <v>494016.10497109825</v>
      </c>
      <c r="J48" s="220">
        <f t="shared" si="13"/>
        <v>11172.739884393064</v>
      </c>
      <c r="K48" s="220">
        <f t="shared" si="14"/>
        <v>165.09826589595369</v>
      </c>
      <c r="L48" s="221">
        <f t="shared" si="1"/>
        <v>3545676.0736416192</v>
      </c>
      <c r="M48" s="222">
        <f t="shared" si="15"/>
        <v>133449.63710982658</v>
      </c>
      <c r="N48" s="223">
        <f t="shared" si="16"/>
        <v>1225.0850867052022</v>
      </c>
    </row>
    <row r="49" spans="1:14">
      <c r="A49" s="159" t="s">
        <v>344</v>
      </c>
      <c r="B49" s="160">
        <v>4</v>
      </c>
      <c r="C49" s="217">
        <f>12600+31910+271560+204000+198480+48090+132674.76+34128.97</f>
        <v>933443.73</v>
      </c>
      <c r="D49" s="217">
        <f>22704</f>
        <v>22704</v>
      </c>
      <c r="E49" s="216"/>
      <c r="F49" s="218">
        <f t="shared" si="9"/>
        <v>1764146.4971098267</v>
      </c>
      <c r="G49" s="219">
        <f t="shared" si="10"/>
        <v>108792.30277456647</v>
      </c>
      <c r="H49" s="220">
        <f t="shared" si="11"/>
        <v>402182.13063583814</v>
      </c>
      <c r="I49" s="220">
        <f t="shared" si="12"/>
        <v>494016.10497109825</v>
      </c>
      <c r="J49" s="220">
        <f t="shared" si="13"/>
        <v>11172.739884393064</v>
      </c>
      <c r="K49" s="220">
        <f t="shared" si="14"/>
        <v>165.09826589595369</v>
      </c>
      <c r="L49" s="221">
        <f t="shared" si="1"/>
        <v>3736622.603641619</v>
      </c>
      <c r="M49" s="222">
        <f t="shared" si="15"/>
        <v>133449.63710982658</v>
      </c>
      <c r="N49" s="223">
        <f t="shared" si="16"/>
        <v>1225.0850867052022</v>
      </c>
    </row>
    <row r="50" spans="1:14">
      <c r="A50" s="159" t="s">
        <v>1538</v>
      </c>
      <c r="B50" s="160">
        <v>4</v>
      </c>
      <c r="C50" s="217">
        <f>17206.25+17875+16493.75+9600+4800+313560+242520+249240+34128.97</f>
        <v>905423.97</v>
      </c>
      <c r="D50" s="217">
        <f>18439</f>
        <v>18439</v>
      </c>
      <c r="E50" s="217">
        <f>120</f>
        <v>120</v>
      </c>
      <c r="F50" s="218">
        <f t="shared" si="9"/>
        <v>1764146.4971098267</v>
      </c>
      <c r="G50" s="219">
        <f t="shared" si="10"/>
        <v>108792.30277456647</v>
      </c>
      <c r="H50" s="220">
        <f t="shared" si="11"/>
        <v>402182.13063583814</v>
      </c>
      <c r="I50" s="220">
        <f t="shared" si="12"/>
        <v>494016.10497109825</v>
      </c>
      <c r="J50" s="220">
        <f t="shared" si="13"/>
        <v>11172.739884393064</v>
      </c>
      <c r="K50" s="220">
        <f t="shared" si="14"/>
        <v>165.09826589595369</v>
      </c>
      <c r="L50" s="221">
        <f t="shared" si="1"/>
        <v>3704457.8436416187</v>
      </c>
      <c r="M50" s="222">
        <f t="shared" si="15"/>
        <v>133449.63710982658</v>
      </c>
      <c r="N50" s="223">
        <f t="shared" si="16"/>
        <v>1225.0850867052022</v>
      </c>
    </row>
    <row r="51" spans="1:14">
      <c r="A51" s="159" t="s">
        <v>346</v>
      </c>
      <c r="B51" s="160">
        <v>10</v>
      </c>
      <c r="C51" s="217">
        <f>22225+15650+41015.63+35125+226.9+11281.98+783.76+1650+216000+213480+206760+146880+124920+106550.12+116880+116880+34128.97</f>
        <v>1410437.36</v>
      </c>
      <c r="D51" s="217">
        <f>23126+18310+10122+7336</f>
        <v>58894</v>
      </c>
      <c r="E51" s="216">
        <f>120+120+240+240</f>
        <v>720</v>
      </c>
      <c r="F51" s="218">
        <f t="shared" si="9"/>
        <v>4410366.2427745666</v>
      </c>
      <c r="G51" s="219">
        <f t="shared" si="10"/>
        <v>271980.75693641615</v>
      </c>
      <c r="H51" s="220">
        <f t="shared" si="11"/>
        <v>1005455.3265895954</v>
      </c>
      <c r="I51" s="220">
        <f t="shared" si="12"/>
        <v>1235040.2624277456</v>
      </c>
      <c r="J51" s="220">
        <f t="shared" si="13"/>
        <v>27931.84971098266</v>
      </c>
      <c r="K51" s="220">
        <f t="shared" si="14"/>
        <v>412.74566473988421</v>
      </c>
      <c r="L51" s="221">
        <f t="shared" si="1"/>
        <v>8421238.5441040471</v>
      </c>
      <c r="M51" s="222">
        <f t="shared" si="15"/>
        <v>333624.09277456644</v>
      </c>
      <c r="N51" s="223">
        <f t="shared" si="16"/>
        <v>3062.712716763006</v>
      </c>
    </row>
    <row r="52" spans="1:14">
      <c r="A52" s="159" t="s">
        <v>347</v>
      </c>
      <c r="B52" s="160">
        <v>4</v>
      </c>
      <c r="C52" s="217">
        <f>3000+267720+156480+149516.13+34128.97</f>
        <v>610845.1</v>
      </c>
      <c r="D52" s="217">
        <f>7666</f>
        <v>7666</v>
      </c>
      <c r="E52" s="217">
        <f>120+120</f>
        <v>240</v>
      </c>
      <c r="F52" s="218">
        <f t="shared" si="9"/>
        <v>1764146.4971098267</v>
      </c>
      <c r="G52" s="219">
        <f t="shared" si="10"/>
        <v>108792.30277456647</v>
      </c>
      <c r="H52" s="220">
        <f t="shared" si="11"/>
        <v>402182.13063583814</v>
      </c>
      <c r="I52" s="220">
        <f t="shared" si="12"/>
        <v>494016.10497109825</v>
      </c>
      <c r="J52" s="220">
        <f t="shared" si="13"/>
        <v>11172.739884393064</v>
      </c>
      <c r="K52" s="220">
        <f t="shared" si="14"/>
        <v>165.09826589595369</v>
      </c>
      <c r="L52" s="221">
        <f t="shared" si="1"/>
        <v>3399225.9736416191</v>
      </c>
      <c r="M52" s="222">
        <f t="shared" si="15"/>
        <v>133449.63710982658</v>
      </c>
      <c r="N52" s="223">
        <f t="shared" si="16"/>
        <v>1225.0850867052022</v>
      </c>
    </row>
    <row r="53" spans="1:14">
      <c r="A53" s="159" t="s">
        <v>1498</v>
      </c>
      <c r="B53" s="160">
        <v>3</v>
      </c>
      <c r="C53" s="217">
        <f>15843.75+11960+13390+181080+149280+34128.97</f>
        <v>405682.72</v>
      </c>
      <c r="D53" s="217">
        <f>17688.75</f>
        <v>17688.75</v>
      </c>
      <c r="E53" s="216">
        <f>600</f>
        <v>600</v>
      </c>
      <c r="F53" s="218">
        <f t="shared" si="9"/>
        <v>1323109.87283237</v>
      </c>
      <c r="G53" s="219">
        <f t="shared" si="10"/>
        <v>81594.227080924858</v>
      </c>
      <c r="H53" s="220">
        <f t="shared" si="11"/>
        <v>301636.59797687858</v>
      </c>
      <c r="I53" s="220">
        <f t="shared" si="12"/>
        <v>370512.07872832369</v>
      </c>
      <c r="J53" s="220">
        <f t="shared" si="13"/>
        <v>8379.5549132947981</v>
      </c>
      <c r="K53" s="220">
        <f t="shared" si="14"/>
        <v>123.82369942196527</v>
      </c>
      <c r="L53" s="221">
        <f t="shared" si="1"/>
        <v>2509327.6252312143</v>
      </c>
      <c r="M53" s="222">
        <f t="shared" si="15"/>
        <v>100087.22783236994</v>
      </c>
      <c r="N53" s="223">
        <f t="shared" si="16"/>
        <v>918.81381502890179</v>
      </c>
    </row>
    <row r="54" spans="1:14">
      <c r="A54" s="159" t="s">
        <v>1535</v>
      </c>
      <c r="B54" s="160">
        <v>3</v>
      </c>
      <c r="C54" s="217">
        <f>1420+520+3600+11500+146520+34128.97</f>
        <v>197688.97</v>
      </c>
      <c r="D54" s="216">
        <f>5856</f>
        <v>5856</v>
      </c>
      <c r="E54" s="216">
        <f>120</f>
        <v>120</v>
      </c>
      <c r="F54" s="218">
        <f t="shared" si="9"/>
        <v>1323109.87283237</v>
      </c>
      <c r="G54" s="219">
        <f t="shared" si="10"/>
        <v>81594.227080924858</v>
      </c>
      <c r="H54" s="220">
        <f t="shared" si="11"/>
        <v>301636.59797687858</v>
      </c>
      <c r="I54" s="220">
        <f t="shared" si="12"/>
        <v>370512.07872832369</v>
      </c>
      <c r="J54" s="220">
        <f t="shared" si="13"/>
        <v>8379.5549132947981</v>
      </c>
      <c r="K54" s="220">
        <f t="shared" si="14"/>
        <v>123.82369942196527</v>
      </c>
      <c r="L54" s="221">
        <f t="shared" si="1"/>
        <v>2289021.1252312143</v>
      </c>
      <c r="M54" s="222">
        <f t="shared" si="15"/>
        <v>100087.22783236994</v>
      </c>
      <c r="N54" s="223">
        <f t="shared" si="16"/>
        <v>918.81381502890179</v>
      </c>
    </row>
    <row r="55" spans="1:14">
      <c r="A55" s="159" t="s">
        <v>1502</v>
      </c>
      <c r="B55" s="160">
        <v>6</v>
      </c>
      <c r="C55" s="224">
        <f>12000+12000+11733.33+20150+21450+39325+110500+22100+3900+1020+1020+1020+313560+255840+233640+233640+260280+34128.97</f>
        <v>1587307.3</v>
      </c>
      <c r="D55" s="224">
        <f>15637+6046+4160+227508.89</f>
        <v>253351.89</v>
      </c>
      <c r="E55" s="224">
        <f>120+120+120+120+600</f>
        <v>1080</v>
      </c>
      <c r="F55" s="218">
        <f t="shared" si="9"/>
        <v>2646219.74566474</v>
      </c>
      <c r="G55" s="219">
        <f t="shared" si="10"/>
        <v>163188.45416184972</v>
      </c>
      <c r="H55" s="220">
        <f t="shared" si="11"/>
        <v>603273.19595375715</v>
      </c>
      <c r="I55" s="220">
        <f t="shared" si="12"/>
        <v>741024.15745664737</v>
      </c>
      <c r="J55" s="220">
        <f t="shared" si="13"/>
        <v>16759.109826589596</v>
      </c>
      <c r="K55" s="220">
        <f t="shared" si="14"/>
        <v>247.64739884393055</v>
      </c>
      <c r="L55" s="221">
        <f t="shared" si="1"/>
        <v>6012451.5004624287</v>
      </c>
      <c r="M55" s="222">
        <f t="shared" si="15"/>
        <v>200174.45566473989</v>
      </c>
      <c r="N55" s="223">
        <f t="shared" si="16"/>
        <v>1837.6276300578036</v>
      </c>
    </row>
    <row r="56" spans="1:14">
      <c r="A56" s="168" t="s">
        <v>1503</v>
      </c>
      <c r="B56" s="160">
        <v>4</v>
      </c>
      <c r="C56" s="224">
        <f>3540+3540+3540+3540+34128.97</f>
        <v>48288.97</v>
      </c>
      <c r="D56" s="224">
        <f>8322+8316+14277+9476</f>
        <v>40391</v>
      </c>
      <c r="E56" s="224">
        <f>2714+360+12428+1800</f>
        <v>17302</v>
      </c>
      <c r="F56" s="225">
        <f t="shared" si="9"/>
        <v>1764146.4971098267</v>
      </c>
      <c r="G56" s="219">
        <f t="shared" si="10"/>
        <v>108792.30277456647</v>
      </c>
      <c r="H56" s="220">
        <f t="shared" si="11"/>
        <v>402182.13063583814</v>
      </c>
      <c r="I56" s="220">
        <f t="shared" si="12"/>
        <v>494016.10497109825</v>
      </c>
      <c r="J56" s="220">
        <f t="shared" si="13"/>
        <v>11172.739884393064</v>
      </c>
      <c r="K56" s="220">
        <f t="shared" si="14"/>
        <v>165.09826589595369</v>
      </c>
      <c r="L56" s="221">
        <f t="shared" si="1"/>
        <v>2886456.8436416187</v>
      </c>
      <c r="M56" s="226">
        <f t="shared" si="15"/>
        <v>133449.63710982658</v>
      </c>
      <c r="N56" s="223">
        <f t="shared" si="16"/>
        <v>1225.0850867052022</v>
      </c>
    </row>
    <row r="57" spans="1:14" s="177" customFormat="1">
      <c r="A57" s="168" t="s">
        <v>1522</v>
      </c>
      <c r="B57" s="160">
        <v>2</v>
      </c>
      <c r="C57" s="227">
        <f>3650+2950+214800+112320+0.15</f>
        <v>333720.15000000002</v>
      </c>
      <c r="D57" s="228">
        <f>4956</f>
        <v>4956</v>
      </c>
      <c r="E57" s="227"/>
      <c r="F57" s="225">
        <f>+F5*B57/B58</f>
        <v>882073.24855491333</v>
      </c>
      <c r="G57" s="219">
        <f t="shared" si="10"/>
        <v>54396.151387283237</v>
      </c>
      <c r="H57" s="220">
        <f t="shared" si="11"/>
        <v>201091.06531791907</v>
      </c>
      <c r="I57" s="220">
        <f t="shared" si="12"/>
        <v>247008.05248554912</v>
      </c>
      <c r="J57" s="220">
        <f t="shared" si="13"/>
        <v>5586.3699421965321</v>
      </c>
      <c r="K57" s="220">
        <f t="shared" si="14"/>
        <v>82.549132947976844</v>
      </c>
      <c r="L57" s="221">
        <f t="shared" si="1"/>
        <v>1728913.5868208094</v>
      </c>
      <c r="M57" s="226">
        <f t="shared" si="15"/>
        <v>66724.81855491329</v>
      </c>
      <c r="N57" s="229">
        <f t="shared" si="16"/>
        <v>612.54254335260111</v>
      </c>
    </row>
    <row r="58" spans="1:14">
      <c r="A58" s="171" t="s">
        <v>361</v>
      </c>
      <c r="B58" s="230">
        <f>SUM(B7:B57)</f>
        <v>346</v>
      </c>
      <c r="C58" s="231">
        <f>SUM(C7:C57)</f>
        <v>46663039.589999959</v>
      </c>
      <c r="D58" s="231">
        <f t="shared" ref="D58:K58" si="17">SUM(D7:D57)</f>
        <v>9138886.2799999956</v>
      </c>
      <c r="E58" s="231">
        <f>SUM(E7:E57)</f>
        <v>461315.41000000003</v>
      </c>
      <c r="F58" s="231">
        <f t="shared" si="17"/>
        <v>152598672.00000006</v>
      </c>
      <c r="G58" s="231">
        <f t="shared" si="17"/>
        <v>9410534.1900000013</v>
      </c>
      <c r="H58" s="231">
        <f t="shared" si="17"/>
        <v>34788754.299999997</v>
      </c>
      <c r="I58" s="231">
        <f t="shared" si="17"/>
        <v>42732393.079999991</v>
      </c>
      <c r="J58" s="231">
        <f t="shared" si="17"/>
        <v>966442.00000000058</v>
      </c>
      <c r="K58" s="231">
        <f t="shared" si="17"/>
        <v>14280.999999999996</v>
      </c>
      <c r="L58" s="231">
        <f>SUM(L7:L57)</f>
        <v>296774317.84999996</v>
      </c>
      <c r="M58" s="231">
        <f>SUM(M7:M57)</f>
        <v>11543393.609999998</v>
      </c>
      <c r="N58" s="232">
        <f>SUM(N7:N57)</f>
        <v>105969.86000000003</v>
      </c>
    </row>
    <row r="59" spans="1:14">
      <c r="A59" s="129"/>
      <c r="B59" s="178"/>
      <c r="C59" s="233">
        <f>C5-C58</f>
        <v>0</v>
      </c>
      <c r="D59" s="234">
        <f>D5-D58</f>
        <v>0</v>
      </c>
      <c r="E59" s="234">
        <f>E5-E58</f>
        <v>0</v>
      </c>
      <c r="F59" s="235"/>
      <c r="G59" s="129"/>
      <c r="H59" s="129"/>
      <c r="I59" s="129"/>
      <c r="J59" s="129"/>
      <c r="K59" s="129"/>
      <c r="L59" s="236"/>
      <c r="N59" s="189">
        <f>M58+N58</f>
        <v>11649363.469999997</v>
      </c>
    </row>
    <row r="60" spans="1:14">
      <c r="A60" s="129"/>
      <c r="B60" s="178"/>
      <c r="C60" s="237">
        <f>C58+'ปันส่วนเงินงบประมาณ 2'!C57</f>
        <v>152824088.09999996</v>
      </c>
      <c r="D60" s="237">
        <f>D59/44</f>
        <v>0</v>
      </c>
      <c r="E60" s="237">
        <f>D58+E58+'ปันส่วนเงินงบประมาณ 2'!D57+'ปันส่วนเงินงบประมาณ 2'!E57+ปันส่วนเงินนอกงบประมาณ!M58</f>
        <v>22001355.299999993</v>
      </c>
      <c r="F60" s="235"/>
      <c r="G60" s="129"/>
      <c r="H60" s="129"/>
      <c r="I60" s="129"/>
      <c r="J60" s="129"/>
      <c r="K60" s="129"/>
      <c r="L60" s="189"/>
    </row>
    <row r="61" spans="1:14">
      <c r="A61" s="129"/>
      <c r="B61" s="178"/>
      <c r="C61" s="237"/>
      <c r="D61" s="891">
        <f>D58-D5</f>
        <v>0</v>
      </c>
      <c r="E61" s="237"/>
      <c r="F61" s="235"/>
      <c r="G61" s="129"/>
      <c r="H61" s="129"/>
      <c r="I61" s="129"/>
      <c r="J61" s="129"/>
      <c r="K61" s="129"/>
      <c r="L61" s="129"/>
      <c r="N61" s="189">
        <f>'ปันส่วนเงินงบประมาณ 2'!K57+ปันส่วนเงินนอกงบประมาณ!L58+ปันส่วนเงินนอกงบประมาณ!N59</f>
        <v>460202140.63999993</v>
      </c>
    </row>
    <row r="62" spans="1:14">
      <c r="A62" s="129"/>
      <c r="B62" s="178"/>
      <c r="C62" s="178"/>
      <c r="D62" s="178"/>
      <c r="E62" s="178"/>
      <c r="F62" s="235"/>
      <c r="G62" s="129"/>
      <c r="H62" s="129"/>
      <c r="I62" s="129"/>
      <c r="J62" s="129"/>
      <c r="K62" s="129"/>
      <c r="L62" s="129"/>
    </row>
    <row r="63" spans="1:14">
      <c r="A63" s="129"/>
      <c r="B63" s="178"/>
      <c r="C63" s="178"/>
      <c r="D63" s="178"/>
      <c r="E63" s="178"/>
      <c r="F63" s="235"/>
      <c r="G63" s="129"/>
      <c r="H63" s="129"/>
      <c r="I63" s="129"/>
      <c r="J63" s="129"/>
      <c r="K63" s="129"/>
      <c r="L63" s="129"/>
    </row>
    <row r="64" spans="1:14">
      <c r="A64" s="129"/>
      <c r="B64" s="178"/>
      <c r="C64" s="178"/>
      <c r="D64" s="178"/>
      <c r="E64" s="178"/>
      <c r="F64" s="235"/>
      <c r="G64" s="129"/>
      <c r="H64" s="129"/>
      <c r="I64" s="129"/>
      <c r="J64" s="129"/>
      <c r="K64" s="129"/>
      <c r="L64" s="129"/>
    </row>
    <row r="65" spans="1:12">
      <c r="A65" s="129"/>
      <c r="B65" s="178"/>
      <c r="C65" s="178"/>
      <c r="D65" s="178"/>
      <c r="E65" s="178"/>
      <c r="F65" s="235"/>
      <c r="G65" s="129"/>
      <c r="H65" s="129"/>
      <c r="I65" s="129"/>
      <c r="J65" s="129"/>
      <c r="K65" s="129"/>
      <c r="L65" s="129"/>
    </row>
    <row r="66" spans="1:12">
      <c r="A66" s="129"/>
      <c r="B66" s="178"/>
      <c r="C66" s="178"/>
      <c r="D66" s="178"/>
      <c r="E66" s="178"/>
      <c r="F66" s="235"/>
      <c r="G66" s="129"/>
      <c r="H66" s="129"/>
      <c r="I66" s="129"/>
      <c r="J66" s="129"/>
      <c r="K66" s="129"/>
      <c r="L66" s="129"/>
    </row>
    <row r="67" spans="1:12">
      <c r="A67" s="129"/>
      <c r="B67" s="178"/>
      <c r="C67" s="237"/>
      <c r="D67" s="178"/>
      <c r="E67" s="178"/>
      <c r="F67" s="235"/>
      <c r="G67" s="129"/>
      <c r="H67" s="129"/>
      <c r="I67" s="129"/>
      <c r="J67" s="129"/>
      <c r="K67" s="129"/>
      <c r="L67" s="129"/>
    </row>
    <row r="68" spans="1:12">
      <c r="A68" s="129"/>
      <c r="B68" s="178"/>
      <c r="C68" s="178"/>
      <c r="D68" s="178"/>
      <c r="E68" s="178"/>
      <c r="F68" s="235"/>
      <c r="G68" s="129"/>
      <c r="H68" s="129"/>
      <c r="I68" s="129"/>
      <c r="J68" s="129"/>
      <c r="K68" s="129"/>
      <c r="L68" s="129"/>
    </row>
    <row r="69" spans="1:12">
      <c r="A69" s="129"/>
      <c r="B69" s="178"/>
      <c r="C69" s="178"/>
      <c r="D69" s="178"/>
      <c r="E69" s="178"/>
      <c r="F69" s="235"/>
      <c r="G69" s="129"/>
      <c r="H69" s="129"/>
      <c r="I69" s="129"/>
      <c r="J69" s="129"/>
      <c r="K69" s="129"/>
      <c r="L69" s="129"/>
    </row>
    <row r="70" spans="1:12">
      <c r="A70" s="129"/>
      <c r="B70" s="178"/>
      <c r="C70" s="178"/>
      <c r="D70" s="178"/>
      <c r="E70" s="178"/>
      <c r="F70" s="235"/>
      <c r="G70" s="129"/>
      <c r="H70" s="129"/>
      <c r="I70" s="129"/>
      <c r="J70" s="129"/>
      <c r="K70" s="129"/>
      <c r="L70" s="129"/>
    </row>
    <row r="71" spans="1:12">
      <c r="A71" s="129"/>
      <c r="B71" s="178"/>
      <c r="C71" s="178"/>
      <c r="D71" s="178"/>
      <c r="E71" s="178"/>
      <c r="F71" s="235"/>
      <c r="G71" s="129"/>
      <c r="H71" s="129"/>
      <c r="I71" s="129"/>
      <c r="J71" s="129"/>
      <c r="K71" s="129"/>
      <c r="L71" s="129"/>
    </row>
    <row r="72" spans="1:12">
      <c r="A72" s="129"/>
      <c r="B72" s="178"/>
      <c r="C72" s="178"/>
      <c r="D72" s="178"/>
      <c r="E72" s="178"/>
      <c r="F72" s="235"/>
      <c r="G72" s="129"/>
      <c r="H72" s="129"/>
      <c r="I72" s="129"/>
      <c r="J72" s="129"/>
      <c r="K72" s="129"/>
      <c r="L72" s="129"/>
    </row>
    <row r="73" spans="1:12">
      <c r="A73" s="129"/>
      <c r="B73" s="178"/>
      <c r="C73" s="178"/>
      <c r="D73" s="178"/>
      <c r="E73" s="178"/>
      <c r="F73" s="235"/>
      <c r="G73" s="129"/>
      <c r="H73" s="129"/>
      <c r="I73" s="129"/>
      <c r="J73" s="129"/>
      <c r="K73" s="129"/>
      <c r="L73" s="129"/>
    </row>
    <row r="74" spans="1:12">
      <c r="A74" s="129"/>
      <c r="B74" s="178"/>
      <c r="C74" s="178"/>
      <c r="D74" s="178"/>
      <c r="E74" s="178"/>
      <c r="F74" s="235"/>
      <c r="G74" s="129"/>
      <c r="H74" s="129"/>
      <c r="I74" s="129"/>
      <c r="J74" s="129"/>
      <c r="K74" s="129"/>
      <c r="L74" s="129"/>
    </row>
    <row r="75" spans="1:12">
      <c r="A75" s="129"/>
      <c r="B75" s="178"/>
      <c r="C75" s="178"/>
      <c r="D75" s="178"/>
      <c r="E75" s="178"/>
      <c r="F75" s="235"/>
      <c r="G75" s="129"/>
      <c r="H75" s="129"/>
      <c r="I75" s="129"/>
      <c r="J75" s="129"/>
      <c r="K75" s="129"/>
      <c r="L75" s="129"/>
    </row>
    <row r="76" spans="1:12">
      <c r="A76" s="129"/>
      <c r="B76" s="178"/>
      <c r="C76" s="178"/>
      <c r="D76" s="178"/>
      <c r="E76" s="178"/>
      <c r="F76" s="235"/>
      <c r="G76" s="129"/>
      <c r="H76" s="129"/>
      <c r="I76" s="129"/>
      <c r="J76" s="129"/>
      <c r="K76" s="129"/>
      <c r="L76" s="129"/>
    </row>
    <row r="77" spans="1:12">
      <c r="A77" s="129"/>
      <c r="B77" s="178"/>
      <c r="C77" s="178"/>
      <c r="D77" s="178"/>
      <c r="E77" s="178"/>
      <c r="F77" s="235"/>
      <c r="G77" s="129"/>
      <c r="H77" s="129"/>
      <c r="I77" s="129"/>
      <c r="J77" s="129"/>
      <c r="K77" s="129"/>
      <c r="L77" s="129"/>
    </row>
    <row r="78" spans="1:12">
      <c r="A78" s="129"/>
      <c r="B78" s="178"/>
      <c r="C78" s="178"/>
      <c r="D78" s="178"/>
      <c r="E78" s="178"/>
      <c r="F78" s="235"/>
      <c r="G78" s="129"/>
      <c r="H78" s="129"/>
      <c r="I78" s="129"/>
      <c r="J78" s="129"/>
      <c r="K78" s="129"/>
      <c r="L78" s="129"/>
    </row>
    <row r="79" spans="1:12">
      <c r="A79" s="129"/>
      <c r="B79" s="178"/>
      <c r="C79" s="178"/>
      <c r="D79" s="178"/>
      <c r="E79" s="178"/>
      <c r="F79" s="235"/>
      <c r="G79" s="129"/>
      <c r="H79" s="129"/>
      <c r="I79" s="129"/>
      <c r="J79" s="129"/>
      <c r="K79" s="129"/>
      <c r="L79" s="129"/>
    </row>
    <row r="80" spans="1:12">
      <c r="A80" s="129"/>
      <c r="B80" s="178"/>
      <c r="C80" s="178"/>
      <c r="D80" s="178"/>
      <c r="E80" s="178"/>
      <c r="F80" s="235"/>
      <c r="G80" s="129"/>
      <c r="H80" s="129"/>
      <c r="I80" s="129"/>
      <c r="J80" s="129"/>
      <c r="K80" s="129"/>
      <c r="L80" s="129"/>
    </row>
    <row r="81" spans="1:12">
      <c r="A81" s="129"/>
      <c r="B81" s="178"/>
      <c r="C81" s="178"/>
      <c r="D81" s="178"/>
      <c r="E81" s="178"/>
      <c r="F81" s="235"/>
      <c r="G81" s="129"/>
      <c r="H81" s="129"/>
      <c r="I81" s="129"/>
      <c r="J81" s="129"/>
      <c r="K81" s="129"/>
      <c r="L81" s="129"/>
    </row>
    <row r="82" spans="1:12">
      <c r="A82" s="129"/>
      <c r="B82" s="178"/>
      <c r="C82" s="178"/>
      <c r="D82" s="178"/>
      <c r="E82" s="178"/>
      <c r="F82" s="235"/>
      <c r="G82" s="129"/>
      <c r="H82" s="129"/>
      <c r="I82" s="129"/>
      <c r="J82" s="129"/>
      <c r="K82" s="129"/>
      <c r="L82" s="129"/>
    </row>
    <row r="83" spans="1:12">
      <c r="A83" s="129"/>
      <c r="B83" s="178"/>
      <c r="C83" s="178"/>
      <c r="D83" s="178"/>
      <c r="E83" s="178"/>
      <c r="F83" s="235"/>
      <c r="G83" s="129"/>
      <c r="H83" s="129"/>
      <c r="I83" s="129"/>
      <c r="J83" s="129"/>
      <c r="K83" s="129"/>
      <c r="L83" s="129"/>
    </row>
    <row r="84" spans="1:12">
      <c r="A84" s="129"/>
      <c r="B84" s="178"/>
      <c r="C84" s="178"/>
      <c r="D84" s="178"/>
      <c r="E84" s="178"/>
      <c r="F84" s="235"/>
      <c r="G84" s="129"/>
      <c r="H84" s="129"/>
      <c r="I84" s="129"/>
      <c r="J84" s="129"/>
      <c r="K84" s="129"/>
      <c r="L84" s="129"/>
    </row>
    <row r="85" spans="1:12">
      <c r="A85" s="129"/>
      <c r="B85" s="178"/>
      <c r="C85" s="178"/>
      <c r="D85" s="178"/>
      <c r="E85" s="178"/>
      <c r="F85" s="235"/>
      <c r="G85" s="129"/>
      <c r="H85" s="129"/>
      <c r="I85" s="129"/>
      <c r="J85" s="129"/>
      <c r="K85" s="129"/>
      <c r="L85" s="129"/>
    </row>
    <row r="86" spans="1:12">
      <c r="A86" s="129"/>
      <c r="B86" s="178"/>
      <c r="C86" s="178"/>
      <c r="D86" s="178"/>
      <c r="E86" s="178"/>
      <c r="F86" s="235"/>
      <c r="G86" s="129"/>
      <c r="H86" s="129"/>
      <c r="I86" s="129"/>
      <c r="J86" s="129"/>
      <c r="K86" s="129"/>
      <c r="L86" s="129"/>
    </row>
    <row r="87" spans="1:12">
      <c r="A87" s="129"/>
      <c r="B87" s="178"/>
      <c r="C87" s="178"/>
      <c r="D87" s="178"/>
      <c r="E87" s="178"/>
      <c r="F87" s="235"/>
      <c r="G87" s="129"/>
      <c r="H87" s="129"/>
      <c r="I87" s="129"/>
      <c r="J87" s="129"/>
      <c r="K87" s="129"/>
      <c r="L87" s="129"/>
    </row>
    <row r="88" spans="1:12">
      <c r="A88" s="129"/>
      <c r="B88" s="178"/>
      <c r="C88" s="178"/>
      <c r="D88" s="178"/>
      <c r="E88" s="178"/>
      <c r="F88" s="235"/>
      <c r="G88" s="129"/>
      <c r="H88" s="129"/>
      <c r="I88" s="129"/>
      <c r="J88" s="129"/>
      <c r="K88" s="129"/>
      <c r="L88" s="129"/>
    </row>
    <row r="89" spans="1:12">
      <c r="A89" s="129"/>
      <c r="B89" s="178"/>
      <c r="C89" s="178"/>
      <c r="D89" s="178"/>
      <c r="E89" s="178"/>
      <c r="F89" s="235"/>
      <c r="G89" s="129"/>
      <c r="H89" s="129"/>
      <c r="I89" s="129"/>
      <c r="J89" s="129"/>
      <c r="K89" s="129"/>
      <c r="L89" s="129"/>
    </row>
    <row r="90" spans="1:12">
      <c r="B90" s="178"/>
      <c r="C90" s="178"/>
      <c r="D90" s="178"/>
      <c r="E90" s="178"/>
      <c r="F90" s="235"/>
      <c r="G90" s="129"/>
      <c r="H90" s="129"/>
      <c r="I90" s="129"/>
      <c r="J90" s="129"/>
      <c r="K90" s="129"/>
      <c r="L90" s="129"/>
    </row>
  </sheetData>
  <mergeCells count="4">
    <mergeCell ref="A1:L1"/>
    <mergeCell ref="A2:L2"/>
    <mergeCell ref="A4:A5"/>
    <mergeCell ref="M3:N3"/>
  </mergeCells>
  <pageMargins left="0" right="0" top="0.39370078740157483" bottom="0.23622047244094491" header="0.31496062992125984" footer="0.15748031496062992"/>
  <pageSetup paperSize="9" scale="8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5"/>
  <sheetViews>
    <sheetView topLeftCell="A49" workbookViewId="0">
      <selection activeCell="B83" sqref="B83"/>
    </sheetView>
  </sheetViews>
  <sheetFormatPr defaultRowHeight="12.75"/>
  <cols>
    <col min="1" max="1" width="14" customWidth="1"/>
    <col min="2" max="2" width="50.140625" style="21" bestFit="1" customWidth="1"/>
    <col min="3" max="3" width="17.5703125" style="21" bestFit="1" customWidth="1"/>
    <col min="4" max="4" width="19.140625" style="21" bestFit="1" customWidth="1"/>
    <col min="5" max="5" width="13" style="21" customWidth="1"/>
    <col min="6" max="6" width="21.5703125" style="21" customWidth="1"/>
    <col min="8" max="8" width="14.28515625" bestFit="1" customWidth="1"/>
    <col min="9" max="9" width="15.28515625" bestFit="1" customWidth="1"/>
    <col min="12" max="13" width="15.28515625" bestFit="1" customWidth="1"/>
  </cols>
  <sheetData>
    <row r="1" spans="1:6" ht="15" customHeight="1">
      <c r="A1" s="70" t="s">
        <v>47</v>
      </c>
      <c r="B1" s="70" t="s">
        <v>48</v>
      </c>
      <c r="C1" s="53" t="s">
        <v>3</v>
      </c>
      <c r="D1" s="53" t="s">
        <v>2</v>
      </c>
      <c r="E1" s="53" t="s">
        <v>0</v>
      </c>
      <c r="F1" s="53" t="s">
        <v>49</v>
      </c>
    </row>
    <row r="2" spans="1:6" ht="15" customHeight="1">
      <c r="A2" s="71" t="s">
        <v>50</v>
      </c>
      <c r="B2" s="71" t="s">
        <v>51</v>
      </c>
      <c r="C2" s="65"/>
      <c r="D2" s="72">
        <v>14756705</v>
      </c>
      <c r="E2" s="65"/>
      <c r="F2" s="72">
        <v>14756705</v>
      </c>
    </row>
    <row r="3" spans="1:6" ht="15" customHeight="1">
      <c r="A3" s="71" t="s">
        <v>52</v>
      </c>
      <c r="B3" s="71" t="s">
        <v>53</v>
      </c>
      <c r="C3" s="72">
        <v>4871430</v>
      </c>
      <c r="D3" s="65"/>
      <c r="E3" s="65"/>
      <c r="F3" s="72">
        <v>4871430</v>
      </c>
    </row>
    <row r="4" spans="1:6" ht="15" customHeight="1">
      <c r="A4" s="71" t="s">
        <v>220</v>
      </c>
      <c r="B4" s="71" t="s">
        <v>214</v>
      </c>
      <c r="C4" s="72">
        <v>89693.709999999992</v>
      </c>
      <c r="D4" s="65"/>
      <c r="E4" s="65"/>
      <c r="F4" s="72">
        <v>89693.709999999992</v>
      </c>
    </row>
    <row r="5" spans="1:6" ht="15" customHeight="1">
      <c r="A5" s="71" t="s">
        <v>203</v>
      </c>
      <c r="B5" s="71" t="s">
        <v>204</v>
      </c>
      <c r="C5" s="65"/>
      <c r="D5" s="72">
        <v>19334147.209999997</v>
      </c>
      <c r="E5" s="65"/>
      <c r="F5" s="72">
        <v>19334147.209999997</v>
      </c>
    </row>
    <row r="6" spans="1:6" ht="15" customHeight="1">
      <c r="A6" s="71" t="s">
        <v>54</v>
      </c>
      <c r="B6" s="71" t="s">
        <v>55</v>
      </c>
      <c r="C6" s="72">
        <v>122546</v>
      </c>
      <c r="D6" s="72">
        <v>578491</v>
      </c>
      <c r="E6" s="65"/>
      <c r="F6" s="72">
        <v>701037</v>
      </c>
    </row>
    <row r="7" spans="1:6" ht="15" customHeight="1">
      <c r="A7" s="71" t="s">
        <v>205</v>
      </c>
      <c r="B7" s="71" t="s">
        <v>206</v>
      </c>
      <c r="C7" s="65"/>
      <c r="D7" s="72">
        <v>216308.99</v>
      </c>
      <c r="E7" s="65"/>
      <c r="F7" s="72">
        <v>216308.99</v>
      </c>
    </row>
    <row r="8" spans="1:6" ht="15" customHeight="1">
      <c r="A8" s="71" t="s">
        <v>512</v>
      </c>
      <c r="B8" s="71" t="s">
        <v>513</v>
      </c>
      <c r="C8" s="72">
        <v>4778336.0199999996</v>
      </c>
      <c r="D8" s="72">
        <v>171096.78</v>
      </c>
      <c r="E8" s="65"/>
      <c r="F8" s="72">
        <v>4949432.8</v>
      </c>
    </row>
    <row r="9" spans="1:6" ht="15" customHeight="1">
      <c r="A9" s="71" t="s">
        <v>478</v>
      </c>
      <c r="B9" s="71" t="s">
        <v>479</v>
      </c>
      <c r="C9" s="72">
        <v>9500</v>
      </c>
      <c r="D9" s="72">
        <v>68488</v>
      </c>
      <c r="E9" s="72">
        <v>644000</v>
      </c>
      <c r="F9" s="72">
        <v>721988</v>
      </c>
    </row>
    <row r="10" spans="1:6" ht="15" customHeight="1">
      <c r="A10" s="71" t="s">
        <v>56</v>
      </c>
      <c r="B10" s="71" t="s">
        <v>57</v>
      </c>
      <c r="C10" s="65"/>
      <c r="D10" s="65"/>
      <c r="E10" s="72">
        <v>649580</v>
      </c>
      <c r="F10" s="72">
        <v>649580</v>
      </c>
    </row>
    <row r="11" spans="1:6" ht="15" customHeight="1">
      <c r="A11" s="71" t="s">
        <v>58</v>
      </c>
      <c r="B11" s="71" t="s">
        <v>59</v>
      </c>
      <c r="C11" s="65"/>
      <c r="D11" s="65"/>
      <c r="E11" s="72">
        <v>533439.5</v>
      </c>
      <c r="F11" s="72">
        <v>533439.5</v>
      </c>
    </row>
    <row r="12" spans="1:6" ht="15" customHeight="1">
      <c r="A12" s="71" t="s">
        <v>60</v>
      </c>
      <c r="B12" s="71" t="s">
        <v>61</v>
      </c>
      <c r="C12" s="72">
        <v>107445</v>
      </c>
      <c r="D12" s="72">
        <v>4654545.49</v>
      </c>
      <c r="E12" s="65"/>
      <c r="F12" s="72">
        <v>4761990.49</v>
      </c>
    </row>
    <row r="13" spans="1:6" ht="15" customHeight="1">
      <c r="A13" s="71" t="s">
        <v>537</v>
      </c>
      <c r="B13" s="71" t="s">
        <v>538</v>
      </c>
      <c r="C13" s="65"/>
      <c r="D13" s="72">
        <v>226830</v>
      </c>
      <c r="E13" s="65"/>
      <c r="F13" s="72">
        <v>226830</v>
      </c>
    </row>
    <row r="14" spans="1:6" ht="15" customHeight="1">
      <c r="A14" s="71" t="s">
        <v>62</v>
      </c>
      <c r="B14" s="71" t="s">
        <v>63</v>
      </c>
      <c r="C14" s="72">
        <v>39020</v>
      </c>
      <c r="D14" s="72">
        <v>248105</v>
      </c>
      <c r="E14" s="65"/>
      <c r="F14" s="72">
        <v>287125</v>
      </c>
    </row>
    <row r="15" spans="1:6" ht="15" customHeight="1">
      <c r="A15" s="71" t="s">
        <v>64</v>
      </c>
      <c r="B15" s="71" t="s">
        <v>65</v>
      </c>
      <c r="C15" s="72">
        <v>119838</v>
      </c>
      <c r="D15" s="72">
        <v>727375</v>
      </c>
      <c r="E15" s="65"/>
      <c r="F15" s="72">
        <v>847213</v>
      </c>
    </row>
    <row r="16" spans="1:6" ht="15" customHeight="1">
      <c r="A16" s="71" t="s">
        <v>66</v>
      </c>
      <c r="B16" s="71" t="s">
        <v>67</v>
      </c>
      <c r="C16" s="72">
        <v>71183</v>
      </c>
      <c r="D16" s="72">
        <v>722288.28</v>
      </c>
      <c r="E16" s="65"/>
      <c r="F16" s="72">
        <v>793471.28</v>
      </c>
    </row>
    <row r="17" spans="1:13" ht="15" customHeight="1">
      <c r="A17" s="71" t="s">
        <v>1466</v>
      </c>
      <c r="B17" s="71" t="s">
        <v>63</v>
      </c>
      <c r="C17" s="72">
        <v>0</v>
      </c>
      <c r="D17" s="72">
        <v>0</v>
      </c>
      <c r="E17" s="65"/>
      <c r="F17" s="72">
        <v>0</v>
      </c>
      <c r="G17" s="65"/>
      <c r="H17" s="65"/>
      <c r="I17" s="65"/>
      <c r="J17" s="65"/>
      <c r="K17" s="65"/>
    </row>
    <row r="18" spans="1:13" ht="15" customHeight="1">
      <c r="A18" s="71" t="s">
        <v>1467</v>
      </c>
      <c r="B18" s="71" t="s">
        <v>1468</v>
      </c>
      <c r="C18" s="72">
        <v>0</v>
      </c>
      <c r="D18" s="72">
        <v>0</v>
      </c>
      <c r="E18" s="65"/>
      <c r="F18" s="72">
        <v>0</v>
      </c>
      <c r="G18" s="65"/>
      <c r="H18" s="65"/>
      <c r="I18" s="65"/>
      <c r="J18" s="65"/>
      <c r="K18" s="65"/>
    </row>
    <row r="19" spans="1:13" ht="15" customHeight="1">
      <c r="A19" s="66" t="s">
        <v>68</v>
      </c>
      <c r="B19" s="66" t="s">
        <v>69</v>
      </c>
      <c r="C19" s="67">
        <v>2246859</v>
      </c>
      <c r="D19" s="67">
        <v>45646394.88000001</v>
      </c>
      <c r="E19" s="73"/>
      <c r="F19" s="67">
        <v>47893253.88000001</v>
      </c>
      <c r="G19" s="65"/>
      <c r="H19" s="78">
        <v>4739249</v>
      </c>
      <c r="I19" s="78">
        <v>130387419.95999999</v>
      </c>
      <c r="J19" s="65"/>
      <c r="K19" s="78">
        <v>135126668.95999998</v>
      </c>
      <c r="L19" s="54">
        <f>H19+I19+J19</f>
        <v>135126668.95999998</v>
      </c>
      <c r="M19" s="54">
        <f>F19+F20+F21+F23+F29+F30+F31+F32+F33+F34+F35</f>
        <v>124834689.73</v>
      </c>
    </row>
    <row r="20" spans="1:13" ht="15" customHeight="1">
      <c r="A20" s="66" t="s">
        <v>70</v>
      </c>
      <c r="B20" s="66" t="s">
        <v>71</v>
      </c>
      <c r="C20" s="73"/>
      <c r="D20" s="67">
        <v>26547750.41</v>
      </c>
      <c r="E20" s="73"/>
      <c r="F20" s="67">
        <v>26547750.41</v>
      </c>
      <c r="G20" s="65"/>
      <c r="H20" s="65"/>
      <c r="I20" s="65"/>
      <c r="J20" s="65"/>
      <c r="K20" s="65"/>
    </row>
    <row r="21" spans="1:13" ht="15" customHeight="1">
      <c r="A21" s="66" t="s">
        <v>72</v>
      </c>
      <c r="B21" s="66" t="s">
        <v>73</v>
      </c>
      <c r="C21" s="73"/>
      <c r="D21" s="67">
        <v>237873.36</v>
      </c>
      <c r="E21" s="73"/>
      <c r="F21" s="67">
        <v>237873.36</v>
      </c>
      <c r="G21" s="65"/>
      <c r="H21" s="65"/>
      <c r="I21" s="65"/>
      <c r="J21" s="65"/>
      <c r="K21" s="65"/>
    </row>
    <row r="22" spans="1:13" ht="15" customHeight="1">
      <c r="A22" s="68" t="s">
        <v>74</v>
      </c>
      <c r="B22" s="68" t="s">
        <v>75</v>
      </c>
      <c r="C22" s="69">
        <v>235050</v>
      </c>
      <c r="D22" s="69">
        <v>24848959.160000004</v>
      </c>
      <c r="E22" s="77"/>
      <c r="F22" s="69">
        <v>25084009.160000004</v>
      </c>
      <c r="G22" s="65"/>
      <c r="H22" s="65"/>
      <c r="I22" s="65"/>
      <c r="J22" s="65"/>
      <c r="K22" s="65"/>
    </row>
    <row r="23" spans="1:13" ht="15" customHeight="1">
      <c r="A23" s="66" t="s">
        <v>1469</v>
      </c>
      <c r="B23" s="66" t="s">
        <v>1470</v>
      </c>
      <c r="C23" s="73"/>
      <c r="D23" s="67">
        <v>0</v>
      </c>
      <c r="E23" s="73"/>
      <c r="F23" s="67">
        <v>0</v>
      </c>
      <c r="G23" s="65"/>
      <c r="H23" s="65"/>
      <c r="I23" s="65"/>
      <c r="J23" s="65"/>
      <c r="K23" s="65"/>
    </row>
    <row r="24" spans="1:13" ht="15" customHeight="1">
      <c r="A24" s="66" t="s">
        <v>76</v>
      </c>
      <c r="B24" s="66" t="s">
        <v>77</v>
      </c>
      <c r="C24" s="73"/>
      <c r="D24" s="67">
        <v>78210.069999999978</v>
      </c>
      <c r="E24" s="73"/>
      <c r="F24" s="67">
        <v>78210.069999999978</v>
      </c>
      <c r="G24" s="65"/>
      <c r="H24" s="65"/>
      <c r="I24" s="65"/>
      <c r="J24" s="65"/>
      <c r="K24" s="65"/>
      <c r="L24" s="55">
        <f>H24+I24+J24</f>
        <v>0</v>
      </c>
      <c r="M24" s="55">
        <f>F24+F25+F26+F27+F28</f>
        <v>9793226.4800000004</v>
      </c>
    </row>
    <row r="25" spans="1:13" ht="15" customHeight="1">
      <c r="A25" s="74" t="s">
        <v>78</v>
      </c>
      <c r="B25" s="74" t="s">
        <v>79</v>
      </c>
      <c r="C25" s="75">
        <v>1039884.49</v>
      </c>
      <c r="D25" s="75">
        <v>7407922.0199999996</v>
      </c>
      <c r="E25" s="76"/>
      <c r="F25" s="75">
        <v>8447806.5099999998</v>
      </c>
      <c r="G25" s="65"/>
      <c r="H25" s="78">
        <v>1745531.15</v>
      </c>
      <c r="I25" s="78">
        <v>8344955.2599999998</v>
      </c>
      <c r="J25" s="65"/>
      <c r="K25" s="78">
        <v>10090486.41</v>
      </c>
    </row>
    <row r="26" spans="1:13" ht="15" customHeight="1">
      <c r="A26" s="74" t="s">
        <v>80</v>
      </c>
      <c r="B26" s="74" t="s">
        <v>81</v>
      </c>
      <c r="C26" s="75">
        <v>413939.97</v>
      </c>
      <c r="D26" s="75">
        <v>452859.44</v>
      </c>
      <c r="E26" s="76"/>
      <c r="F26" s="75">
        <v>866799.40999999992</v>
      </c>
      <c r="G26" s="65"/>
      <c r="H26" s="65"/>
      <c r="I26" s="65"/>
      <c r="J26" s="65"/>
      <c r="K26" s="65"/>
    </row>
    <row r="27" spans="1:13" ht="15" customHeight="1">
      <c r="A27" s="74" t="s">
        <v>82</v>
      </c>
      <c r="B27" s="74" t="s">
        <v>83</v>
      </c>
      <c r="C27" s="75">
        <v>65082.69</v>
      </c>
      <c r="D27" s="75">
        <v>119281.95999999999</v>
      </c>
      <c r="E27" s="76"/>
      <c r="F27" s="75">
        <v>184364.64999999997</v>
      </c>
      <c r="G27" s="65"/>
      <c r="H27" s="65"/>
      <c r="I27" s="65"/>
      <c r="J27" s="65"/>
      <c r="K27" s="65"/>
    </row>
    <row r="28" spans="1:13" ht="15" customHeight="1">
      <c r="A28" s="74" t="s">
        <v>84</v>
      </c>
      <c r="B28" s="74" t="s">
        <v>85</v>
      </c>
      <c r="C28" s="75">
        <v>112350</v>
      </c>
      <c r="D28" s="75">
        <v>103695.84</v>
      </c>
      <c r="E28" s="76"/>
      <c r="F28" s="75">
        <v>216045.84</v>
      </c>
      <c r="G28" s="65"/>
      <c r="H28" s="65"/>
      <c r="I28" s="65"/>
      <c r="J28" s="65"/>
      <c r="K28" s="65"/>
    </row>
    <row r="29" spans="1:13" ht="15" customHeight="1">
      <c r="A29" s="74" t="s">
        <v>86</v>
      </c>
      <c r="B29" s="74" t="s">
        <v>87</v>
      </c>
      <c r="C29" s="75">
        <v>114274</v>
      </c>
      <c r="D29" s="75">
        <v>261196</v>
      </c>
      <c r="E29" s="76"/>
      <c r="F29" s="75">
        <v>375470</v>
      </c>
      <c r="G29" s="65"/>
      <c r="H29" s="65"/>
      <c r="I29" s="65"/>
      <c r="J29" s="65"/>
      <c r="K29" s="65"/>
    </row>
    <row r="30" spans="1:13" ht="15" customHeight="1">
      <c r="A30" s="66" t="s">
        <v>514</v>
      </c>
      <c r="B30" s="66" t="s">
        <v>515</v>
      </c>
      <c r="C30" s="73"/>
      <c r="D30" s="67">
        <v>43228437.480000004</v>
      </c>
      <c r="E30" s="73"/>
      <c r="F30" s="67">
        <v>43228437.480000004</v>
      </c>
      <c r="G30" s="65"/>
      <c r="H30" s="65"/>
      <c r="I30" s="65"/>
      <c r="J30" s="65"/>
      <c r="K30" s="65"/>
    </row>
    <row r="31" spans="1:13" ht="15" customHeight="1">
      <c r="A31" s="66" t="s">
        <v>88</v>
      </c>
      <c r="B31" s="66" t="s">
        <v>89</v>
      </c>
      <c r="C31" s="67">
        <v>45000</v>
      </c>
      <c r="D31" s="67">
        <v>1415203</v>
      </c>
      <c r="E31" s="73"/>
      <c r="F31" s="67">
        <v>1460203</v>
      </c>
      <c r="G31" s="65"/>
      <c r="H31" s="65"/>
      <c r="I31" s="65"/>
      <c r="J31" s="65"/>
      <c r="K31" s="65"/>
    </row>
    <row r="32" spans="1:13" ht="15" customHeight="1">
      <c r="A32" s="66" t="s">
        <v>207</v>
      </c>
      <c r="B32" s="66" t="s">
        <v>208</v>
      </c>
      <c r="C32" s="67">
        <v>4230</v>
      </c>
      <c r="D32" s="67">
        <v>129915</v>
      </c>
      <c r="E32" s="73"/>
      <c r="F32" s="67">
        <v>134145</v>
      </c>
      <c r="G32" s="65"/>
      <c r="H32" s="65"/>
      <c r="I32" s="65"/>
      <c r="J32" s="65"/>
      <c r="K32" s="65"/>
    </row>
    <row r="33" spans="1:6" ht="15" customHeight="1">
      <c r="A33" s="66" t="s">
        <v>539</v>
      </c>
      <c r="B33" s="66" t="s">
        <v>540</v>
      </c>
      <c r="C33" s="73"/>
      <c r="D33" s="67">
        <v>395756.60000000003</v>
      </c>
      <c r="E33" s="73"/>
      <c r="F33" s="67">
        <v>395756.60000000003</v>
      </c>
    </row>
    <row r="34" spans="1:6" ht="15" customHeight="1">
      <c r="A34" s="66" t="s">
        <v>90</v>
      </c>
      <c r="B34" s="66" t="s">
        <v>91</v>
      </c>
      <c r="C34" s="73"/>
      <c r="D34" s="67">
        <v>48000</v>
      </c>
      <c r="E34" s="73"/>
      <c r="F34" s="67">
        <v>48000</v>
      </c>
    </row>
    <row r="35" spans="1:6" ht="15" customHeight="1">
      <c r="A35" s="66" t="s">
        <v>92</v>
      </c>
      <c r="B35" s="66" t="s">
        <v>93</v>
      </c>
      <c r="C35" s="67">
        <v>360</v>
      </c>
      <c r="D35" s="67">
        <v>4513440</v>
      </c>
      <c r="E35" s="73"/>
      <c r="F35" s="67">
        <v>4513800</v>
      </c>
    </row>
    <row r="36" spans="1:6" ht="15" customHeight="1">
      <c r="A36" s="66" t="s">
        <v>94</v>
      </c>
      <c r="B36" s="66" t="s">
        <v>95</v>
      </c>
      <c r="C36" s="67">
        <v>2442800</v>
      </c>
      <c r="D36" s="67">
        <v>8146439.1600000001</v>
      </c>
      <c r="E36" s="73"/>
      <c r="F36" s="67">
        <v>10589239.16</v>
      </c>
    </row>
    <row r="37" spans="1:6" ht="15" customHeight="1">
      <c r="A37" s="71" t="s">
        <v>96</v>
      </c>
      <c r="B37" s="71" t="s">
        <v>97</v>
      </c>
      <c r="C37" s="65"/>
      <c r="D37" s="72">
        <v>885391.12999999872</v>
      </c>
      <c r="E37" s="72">
        <v>105969.86000000002</v>
      </c>
      <c r="F37" s="72">
        <v>991360.98999999871</v>
      </c>
    </row>
    <row r="38" spans="1:6" ht="15" customHeight="1">
      <c r="A38" s="71" t="s">
        <v>98</v>
      </c>
      <c r="B38" s="71" t="s">
        <v>99</v>
      </c>
      <c r="C38" s="65"/>
      <c r="D38" s="72">
        <v>1458380.6900000002</v>
      </c>
      <c r="E38" s="65"/>
      <c r="F38" s="72">
        <v>1458380.6900000002</v>
      </c>
    </row>
    <row r="39" spans="1:6" ht="15" customHeight="1">
      <c r="A39" s="71" t="s">
        <v>100</v>
      </c>
      <c r="B39" s="71" t="s">
        <v>101</v>
      </c>
      <c r="C39" s="72">
        <v>1542889.5999999996</v>
      </c>
      <c r="D39" s="72">
        <v>1872461.2200000007</v>
      </c>
      <c r="E39" s="65"/>
      <c r="F39" s="72">
        <v>3415350.82</v>
      </c>
    </row>
    <row r="40" spans="1:6" ht="15" customHeight="1">
      <c r="A40" s="71" t="s">
        <v>102</v>
      </c>
      <c r="B40" s="71" t="s">
        <v>103</v>
      </c>
      <c r="C40" s="65"/>
      <c r="D40" s="72">
        <v>536965.87</v>
      </c>
      <c r="E40" s="65"/>
      <c r="F40" s="72">
        <v>536965.87</v>
      </c>
    </row>
    <row r="41" spans="1:6" ht="15" customHeight="1">
      <c r="A41" s="71" t="s">
        <v>104</v>
      </c>
      <c r="B41" s="71" t="s">
        <v>105</v>
      </c>
      <c r="C41" s="72">
        <v>568303.51</v>
      </c>
      <c r="D41" s="72">
        <v>4239567.8299999991</v>
      </c>
      <c r="E41" s="65"/>
      <c r="F41" s="72">
        <v>4807871.34</v>
      </c>
    </row>
    <row r="42" spans="1:6" ht="15" customHeight="1">
      <c r="A42" s="71" t="s">
        <v>106</v>
      </c>
      <c r="B42" s="71" t="s">
        <v>107</v>
      </c>
      <c r="C42" s="65"/>
      <c r="D42" s="72">
        <v>515362.31</v>
      </c>
      <c r="E42" s="65"/>
      <c r="F42" s="72">
        <v>515362.31</v>
      </c>
    </row>
    <row r="43" spans="1:6" ht="15" customHeight="1">
      <c r="A43" s="71" t="s">
        <v>108</v>
      </c>
      <c r="B43" s="71" t="s">
        <v>109</v>
      </c>
      <c r="C43" s="72">
        <v>9753.42</v>
      </c>
      <c r="D43" s="72">
        <v>2517089.4699999997</v>
      </c>
      <c r="E43" s="65"/>
      <c r="F43" s="72">
        <v>2526842.8899999997</v>
      </c>
    </row>
    <row r="44" spans="1:6" ht="15" customHeight="1">
      <c r="A44" s="71" t="s">
        <v>110</v>
      </c>
      <c r="B44" s="71" t="s">
        <v>111</v>
      </c>
      <c r="C44" s="72">
        <v>1950.68</v>
      </c>
      <c r="D44" s="72">
        <v>640095.44000000006</v>
      </c>
      <c r="E44" s="65"/>
      <c r="F44" s="72">
        <v>642046.12</v>
      </c>
    </row>
    <row r="45" spans="1:6" ht="15" customHeight="1">
      <c r="A45" s="71" t="s">
        <v>112</v>
      </c>
      <c r="B45" s="71" t="s">
        <v>113</v>
      </c>
      <c r="C45" s="65"/>
      <c r="D45" s="72">
        <v>74005.98</v>
      </c>
      <c r="E45" s="65"/>
      <c r="F45" s="72">
        <v>74005.98</v>
      </c>
    </row>
    <row r="46" spans="1:6" ht="15" customHeight="1">
      <c r="A46" s="71" t="s">
        <v>114</v>
      </c>
      <c r="B46" s="71" t="s">
        <v>115</v>
      </c>
      <c r="C46" s="65"/>
      <c r="D46" s="72">
        <v>678.21000000000015</v>
      </c>
      <c r="E46" s="65"/>
      <c r="F46" s="72">
        <v>678.21000000000015</v>
      </c>
    </row>
    <row r="47" spans="1:6" ht="15" customHeight="1">
      <c r="A47" s="71" t="s">
        <v>209</v>
      </c>
      <c r="B47" s="71" t="s">
        <v>210</v>
      </c>
      <c r="C47" s="65"/>
      <c r="D47" s="72">
        <v>9846.51</v>
      </c>
      <c r="E47" s="65"/>
      <c r="F47" s="72">
        <v>9846.51</v>
      </c>
    </row>
    <row r="48" spans="1:6" ht="15" customHeight="1">
      <c r="A48" s="71" t="s">
        <v>116</v>
      </c>
      <c r="B48" s="71" t="s">
        <v>117</v>
      </c>
      <c r="C48" s="72">
        <v>77020674.799999997</v>
      </c>
      <c r="D48" s="72">
        <v>20950580.639999993</v>
      </c>
      <c r="E48" s="65"/>
      <c r="F48" s="72">
        <v>97971255.439999983</v>
      </c>
    </row>
    <row r="49" spans="1:6" ht="15" customHeight="1">
      <c r="A49" s="71" t="s">
        <v>118</v>
      </c>
      <c r="B49" s="71" t="s">
        <v>119</v>
      </c>
      <c r="C49" s="72">
        <v>30479.449999999997</v>
      </c>
      <c r="D49" s="72">
        <v>3130220.7499999995</v>
      </c>
      <c r="E49" s="65"/>
      <c r="F49" s="72">
        <v>3160700.1999999997</v>
      </c>
    </row>
    <row r="50" spans="1:6" ht="15" customHeight="1">
      <c r="A50" s="71" t="s">
        <v>541</v>
      </c>
      <c r="B50" s="71" t="s">
        <v>542</v>
      </c>
      <c r="C50" s="65"/>
      <c r="D50" s="72">
        <v>575000.00000000012</v>
      </c>
      <c r="E50" s="65"/>
      <c r="F50" s="72">
        <v>575000.00000000012</v>
      </c>
    </row>
    <row r="51" spans="1:6" ht="15" customHeight="1">
      <c r="A51" s="71" t="s">
        <v>120</v>
      </c>
      <c r="B51" s="71" t="s">
        <v>121</v>
      </c>
      <c r="C51" s="65"/>
      <c r="D51" s="72">
        <v>22062.129999999997</v>
      </c>
      <c r="E51" s="65"/>
      <c r="F51" s="72">
        <v>22062.129999999997</v>
      </c>
    </row>
    <row r="52" spans="1:6" ht="15" customHeight="1">
      <c r="A52" s="71" t="s">
        <v>211</v>
      </c>
      <c r="B52" s="71" t="s">
        <v>212</v>
      </c>
      <c r="C52" s="65"/>
      <c r="D52" s="72">
        <v>48532.480000000003</v>
      </c>
      <c r="E52" s="65"/>
      <c r="F52" s="72">
        <v>48532.480000000003</v>
      </c>
    </row>
    <row r="53" spans="1:6" ht="15" customHeight="1">
      <c r="A53" s="71" t="s">
        <v>122</v>
      </c>
      <c r="B53" s="71" t="s">
        <v>123</v>
      </c>
      <c r="C53" s="65"/>
      <c r="D53" s="72">
        <v>4937104.8499999996</v>
      </c>
      <c r="E53" s="65"/>
      <c r="F53" s="72">
        <v>4937104.8499999996</v>
      </c>
    </row>
    <row r="54" spans="1:6" ht="15" customHeight="1">
      <c r="A54" s="71" t="s">
        <v>124</v>
      </c>
      <c r="B54" s="71" t="s">
        <v>125</v>
      </c>
      <c r="C54" s="65"/>
      <c r="D54" s="72">
        <v>450582.05</v>
      </c>
      <c r="E54" s="65"/>
      <c r="F54" s="72">
        <v>450582.05</v>
      </c>
    </row>
    <row r="55" spans="1:6" ht="15" customHeight="1">
      <c r="A55" s="71" t="s">
        <v>181</v>
      </c>
      <c r="B55" s="71" t="s">
        <v>182</v>
      </c>
      <c r="C55" s="65"/>
      <c r="D55" s="72">
        <v>8</v>
      </c>
      <c r="E55" s="65"/>
      <c r="F55" s="72">
        <v>8</v>
      </c>
    </row>
    <row r="56" spans="1:6" ht="15" customHeight="1">
      <c r="A56" s="71" t="s">
        <v>1471</v>
      </c>
      <c r="B56" s="71" t="s">
        <v>1472</v>
      </c>
      <c r="C56" s="65"/>
      <c r="D56" s="72">
        <v>2100.5500000000002</v>
      </c>
      <c r="E56" s="65"/>
      <c r="F56" s="72">
        <v>2100.5500000000002</v>
      </c>
    </row>
    <row r="57" spans="1:6" ht="15" customHeight="1">
      <c r="A57" s="71" t="s">
        <v>543</v>
      </c>
      <c r="B57" s="71" t="s">
        <v>544</v>
      </c>
      <c r="C57" s="65"/>
      <c r="D57" s="72">
        <v>715.28</v>
      </c>
      <c r="E57" s="65"/>
      <c r="F57" s="72">
        <v>715.28</v>
      </c>
    </row>
    <row r="58" spans="1:6" ht="15" customHeight="1">
      <c r="A58" s="71" t="s">
        <v>183</v>
      </c>
      <c r="B58" s="71" t="s">
        <v>184</v>
      </c>
      <c r="C58" s="65"/>
      <c r="D58" s="72">
        <v>61162.33</v>
      </c>
      <c r="E58" s="65"/>
      <c r="F58" s="72">
        <v>61162.33</v>
      </c>
    </row>
    <row r="59" spans="1:6" ht="15" customHeight="1">
      <c r="A59" s="71" t="s">
        <v>545</v>
      </c>
      <c r="B59" s="71" t="s">
        <v>546</v>
      </c>
      <c r="C59" s="65"/>
      <c r="D59" s="72">
        <v>10</v>
      </c>
      <c r="E59" s="65"/>
      <c r="F59" s="72">
        <v>10</v>
      </c>
    </row>
    <row r="60" spans="1:6" ht="15" customHeight="1">
      <c r="A60" s="71" t="s">
        <v>547</v>
      </c>
      <c r="B60" s="71" t="s">
        <v>548</v>
      </c>
      <c r="C60" s="65"/>
      <c r="D60" s="72">
        <v>4</v>
      </c>
      <c r="E60" s="65"/>
      <c r="F60" s="72">
        <v>4</v>
      </c>
    </row>
    <row r="61" spans="1:6" ht="15" customHeight="1">
      <c r="A61" s="71" t="s">
        <v>1473</v>
      </c>
      <c r="B61" s="71" t="s">
        <v>1474</v>
      </c>
      <c r="C61" s="72">
        <v>1</v>
      </c>
      <c r="D61" s="65"/>
      <c r="E61" s="65"/>
      <c r="F61" s="72">
        <v>1</v>
      </c>
    </row>
    <row r="62" spans="1:6" ht="15" customHeight="1">
      <c r="A62" s="71" t="s">
        <v>221</v>
      </c>
      <c r="B62" s="71" t="s">
        <v>222</v>
      </c>
      <c r="C62" s="72">
        <v>130</v>
      </c>
      <c r="D62" s="72">
        <v>8130991</v>
      </c>
      <c r="E62" s="65"/>
      <c r="F62" s="72">
        <v>8131121</v>
      </c>
    </row>
    <row r="63" spans="1:6" ht="15" customHeight="1">
      <c r="A63" s="71" t="s">
        <v>223</v>
      </c>
      <c r="B63" s="71" t="s">
        <v>218</v>
      </c>
      <c r="C63" s="72">
        <v>0</v>
      </c>
      <c r="D63" s="65"/>
      <c r="E63" s="65"/>
      <c r="F63" s="72">
        <v>0</v>
      </c>
    </row>
    <row r="64" spans="1:6" ht="15" customHeight="1">
      <c r="A64" s="71" t="s">
        <v>480</v>
      </c>
      <c r="B64" s="71" t="s">
        <v>481</v>
      </c>
      <c r="C64" s="72">
        <v>0</v>
      </c>
      <c r="D64" s="72">
        <v>0</v>
      </c>
      <c r="E64" s="72">
        <v>0</v>
      </c>
      <c r="F64" s="72">
        <v>0</v>
      </c>
    </row>
    <row r="65" spans="1:6">
      <c r="A65" s="949" t="s">
        <v>1</v>
      </c>
      <c r="B65" s="949"/>
      <c r="C65" s="56">
        <f>SUM(C2:C64)</f>
        <v>96103004.340000004</v>
      </c>
      <c r="D65" s="56">
        <f>SUM(D2:D64)</f>
        <v>256344633.84999999</v>
      </c>
      <c r="E65" s="56">
        <f>SUM(E2:E64)</f>
        <v>1932989.36</v>
      </c>
      <c r="F65" s="56">
        <f>SUM(F2:F64)</f>
        <v>354380627.54999995</v>
      </c>
    </row>
  </sheetData>
  <mergeCells count="1">
    <mergeCell ref="A65:B65"/>
  </mergeCells>
  <pageMargins left="0.2" right="0.3" top="0.61" bottom="0.33" header="0.5" footer="0.21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zoomScaleNormal="158" zoomScaleSheetLayoutView="104" workbookViewId="0">
      <selection activeCell="C8" sqref="C8"/>
    </sheetView>
  </sheetViews>
  <sheetFormatPr defaultRowHeight="12.75"/>
  <cols>
    <col min="1" max="1" width="14" customWidth="1"/>
    <col min="2" max="2" width="30.7109375" customWidth="1"/>
    <col min="3" max="3" width="35.85546875" style="21" customWidth="1"/>
  </cols>
  <sheetData>
    <row r="1" spans="1:3" ht="15" customHeight="1">
      <c r="A1" s="52" t="s">
        <v>47</v>
      </c>
      <c r="B1" s="52" t="s">
        <v>48</v>
      </c>
      <c r="C1" s="53" t="s">
        <v>126</v>
      </c>
    </row>
    <row r="2" spans="1:3" ht="15" customHeight="1">
      <c r="A2" s="57" t="s">
        <v>127</v>
      </c>
      <c r="B2" s="57" t="s">
        <v>128</v>
      </c>
      <c r="C2" s="58">
        <v>52960</v>
      </c>
    </row>
    <row r="3" spans="1:3" ht="15" customHeight="1">
      <c r="A3" s="57" t="s">
        <v>129</v>
      </c>
      <c r="B3" s="57" t="s">
        <v>130</v>
      </c>
      <c r="C3" s="58">
        <v>70020.94</v>
      </c>
    </row>
    <row r="4" spans="1:3" ht="15" customHeight="1">
      <c r="A4" s="57" t="s">
        <v>131</v>
      </c>
      <c r="B4" s="57" t="s">
        <v>132</v>
      </c>
      <c r="C4" s="58">
        <v>221465575.69999999</v>
      </c>
    </row>
    <row r="5" spans="1:3" ht="15" customHeight="1">
      <c r="A5" s="57" t="s">
        <v>133</v>
      </c>
      <c r="B5" s="57" t="s">
        <v>134</v>
      </c>
      <c r="C5" s="58">
        <v>235088.08</v>
      </c>
    </row>
    <row r="6" spans="1:3" ht="15" customHeight="1">
      <c r="A6" s="57" t="s">
        <v>135</v>
      </c>
      <c r="B6" s="57" t="s">
        <v>136</v>
      </c>
      <c r="C6" s="58">
        <v>231368798.09999999</v>
      </c>
    </row>
    <row r="7" spans="1:3" ht="15" customHeight="1">
      <c r="A7" s="64">
        <v>5210010118</v>
      </c>
      <c r="B7" s="57" t="s">
        <v>1465</v>
      </c>
      <c r="C7" s="63">
        <v>14000</v>
      </c>
    </row>
    <row r="8" spans="1:3" ht="13.5" thickBot="1">
      <c r="A8" s="59"/>
      <c r="B8" s="59"/>
      <c r="C8" s="60">
        <f>SUM(C2:C7)</f>
        <v>453206442.81999999</v>
      </c>
    </row>
    <row r="9" spans="1:3" ht="13.5" thickTop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073"/>
  <sheetViews>
    <sheetView topLeftCell="A7229" workbookViewId="0">
      <selection activeCell="A7286" sqref="A1:IV65536"/>
    </sheetView>
  </sheetViews>
  <sheetFormatPr defaultRowHeight="12.75"/>
  <cols>
    <col min="3" max="3" width="14.28515625" customWidth="1"/>
    <col min="6" max="6" width="13.42578125" customWidth="1"/>
    <col min="7" max="7" width="13.85546875" bestFit="1" customWidth="1"/>
    <col min="10" max="10" width="13" customWidth="1"/>
    <col min="11" max="11" width="20" bestFit="1" customWidth="1"/>
    <col min="12" max="12" width="11.140625" customWidth="1"/>
    <col min="13" max="13" width="30.5703125" customWidth="1"/>
    <col min="14" max="14" width="17.42578125" customWidth="1"/>
  </cols>
  <sheetData>
    <row r="1" spans="1:14">
      <c r="A1" t="s">
        <v>549</v>
      </c>
    </row>
    <row r="4" spans="1:14">
      <c r="C4" t="s">
        <v>137</v>
      </c>
      <c r="D4" t="s">
        <v>482</v>
      </c>
      <c r="E4" t="s">
        <v>138</v>
      </c>
      <c r="F4" t="s">
        <v>139</v>
      </c>
      <c r="G4" t="s">
        <v>483</v>
      </c>
      <c r="H4" t="s">
        <v>484</v>
      </c>
      <c r="I4" t="s">
        <v>140</v>
      </c>
      <c r="J4" t="s">
        <v>485</v>
      </c>
      <c r="K4" t="s">
        <v>141</v>
      </c>
      <c r="L4" t="s">
        <v>550</v>
      </c>
      <c r="M4" t="s">
        <v>551</v>
      </c>
      <c r="N4" t="s">
        <v>552</v>
      </c>
    </row>
    <row r="6" spans="1:14">
      <c r="C6">
        <v>2100300025</v>
      </c>
      <c r="D6">
        <v>5126000</v>
      </c>
      <c r="E6" t="s">
        <v>188</v>
      </c>
      <c r="F6">
        <v>5203010111</v>
      </c>
      <c r="G6">
        <v>1</v>
      </c>
      <c r="I6" t="s">
        <v>174</v>
      </c>
      <c r="J6" t="s">
        <v>553</v>
      </c>
      <c r="K6" t="s">
        <v>186</v>
      </c>
      <c r="L6">
        <v>6194</v>
      </c>
    </row>
    <row r="7" spans="1:14">
      <c r="C7">
        <v>2100300025</v>
      </c>
      <c r="D7">
        <v>5831000</v>
      </c>
      <c r="E7" t="s">
        <v>188</v>
      </c>
      <c r="F7">
        <v>5203010111</v>
      </c>
      <c r="G7" s="13">
        <v>7503.85</v>
      </c>
      <c r="I7" t="s">
        <v>174</v>
      </c>
      <c r="J7" t="s">
        <v>554</v>
      </c>
      <c r="K7" t="s">
        <v>186</v>
      </c>
      <c r="L7">
        <v>2910</v>
      </c>
    </row>
    <row r="8" spans="1:14">
      <c r="C8">
        <v>2100300025</v>
      </c>
      <c r="D8">
        <v>5426000</v>
      </c>
      <c r="E8" t="s">
        <v>188</v>
      </c>
      <c r="F8">
        <v>5203010114</v>
      </c>
      <c r="G8">
        <v>1</v>
      </c>
      <c r="I8" t="s">
        <v>174</v>
      </c>
      <c r="J8" t="s">
        <v>555</v>
      </c>
      <c r="K8" t="s">
        <v>556</v>
      </c>
      <c r="L8">
        <v>916</v>
      </c>
    </row>
    <row r="9" spans="1:14">
      <c r="C9">
        <v>2100300025</v>
      </c>
      <c r="D9">
        <v>4731000</v>
      </c>
      <c r="E9" t="s">
        <v>188</v>
      </c>
      <c r="F9">
        <v>5203010119</v>
      </c>
      <c r="G9">
        <v>1</v>
      </c>
      <c r="I9" t="s">
        <v>174</v>
      </c>
      <c r="J9" t="s">
        <v>553</v>
      </c>
      <c r="K9" t="s">
        <v>495</v>
      </c>
      <c r="L9">
        <v>6195</v>
      </c>
    </row>
    <row r="10" spans="1:14">
      <c r="C10">
        <v>2100300025</v>
      </c>
      <c r="D10">
        <v>4826000</v>
      </c>
      <c r="E10" t="s">
        <v>188</v>
      </c>
      <c r="F10">
        <v>5203010111</v>
      </c>
      <c r="G10">
        <v>1</v>
      </c>
      <c r="I10" t="s">
        <v>174</v>
      </c>
      <c r="J10" t="s">
        <v>554</v>
      </c>
      <c r="K10" t="s">
        <v>186</v>
      </c>
      <c r="L10">
        <v>2912</v>
      </c>
    </row>
    <row r="11" spans="1:14">
      <c r="C11">
        <v>2100300025</v>
      </c>
      <c r="D11">
        <v>4731000</v>
      </c>
      <c r="E11" t="s">
        <v>188</v>
      </c>
      <c r="F11">
        <v>5203010111</v>
      </c>
      <c r="G11">
        <v>1</v>
      </c>
      <c r="I11" t="s">
        <v>174</v>
      </c>
      <c r="J11" t="s">
        <v>554</v>
      </c>
      <c r="K11" t="s">
        <v>186</v>
      </c>
      <c r="L11">
        <v>2911</v>
      </c>
    </row>
    <row r="12" spans="1:14">
      <c r="C12">
        <v>2100300025</v>
      </c>
      <c r="D12">
        <v>4831000</v>
      </c>
      <c r="E12" t="s">
        <v>188</v>
      </c>
      <c r="F12">
        <v>5203010111</v>
      </c>
      <c r="G12">
        <v>1</v>
      </c>
      <c r="I12" t="s">
        <v>174</v>
      </c>
      <c r="J12" t="s">
        <v>557</v>
      </c>
      <c r="K12" t="s">
        <v>186</v>
      </c>
      <c r="L12">
        <v>6532</v>
      </c>
    </row>
    <row r="13" spans="1:14">
      <c r="C13">
        <v>2100300025</v>
      </c>
      <c r="D13">
        <v>4831000</v>
      </c>
      <c r="E13" t="s">
        <v>188</v>
      </c>
      <c r="F13">
        <v>5203010111</v>
      </c>
      <c r="G13">
        <v>1</v>
      </c>
      <c r="I13" t="s">
        <v>174</v>
      </c>
      <c r="J13" t="s">
        <v>557</v>
      </c>
      <c r="K13" t="s">
        <v>186</v>
      </c>
      <c r="L13">
        <v>6523</v>
      </c>
    </row>
    <row r="14" spans="1:14">
      <c r="C14">
        <v>2100300025</v>
      </c>
      <c r="D14">
        <v>4831000</v>
      </c>
      <c r="E14" t="s">
        <v>188</v>
      </c>
      <c r="F14">
        <v>5203010111</v>
      </c>
      <c r="G14">
        <v>1</v>
      </c>
      <c r="I14" t="s">
        <v>174</v>
      </c>
      <c r="J14" t="s">
        <v>557</v>
      </c>
      <c r="K14" t="s">
        <v>186</v>
      </c>
      <c r="L14">
        <v>6524</v>
      </c>
    </row>
    <row r="15" spans="1:14">
      <c r="C15">
        <v>2100300025</v>
      </c>
      <c r="D15">
        <v>5126000</v>
      </c>
      <c r="E15" t="s">
        <v>188</v>
      </c>
      <c r="F15">
        <v>5203010111</v>
      </c>
      <c r="G15">
        <v>1</v>
      </c>
      <c r="I15" t="s">
        <v>174</v>
      </c>
      <c r="J15" t="s">
        <v>558</v>
      </c>
      <c r="K15" t="s">
        <v>186</v>
      </c>
      <c r="L15">
        <v>6444</v>
      </c>
    </row>
    <row r="16" spans="1:14">
      <c r="C16">
        <v>2100300025</v>
      </c>
      <c r="D16">
        <v>5126000</v>
      </c>
      <c r="E16" t="s">
        <v>188</v>
      </c>
      <c r="F16">
        <v>5203010111</v>
      </c>
      <c r="G16">
        <v>1</v>
      </c>
      <c r="I16" t="s">
        <v>174</v>
      </c>
      <c r="J16" t="s">
        <v>558</v>
      </c>
      <c r="K16" t="s">
        <v>186</v>
      </c>
      <c r="L16">
        <v>6445</v>
      </c>
    </row>
    <row r="17" spans="3:12">
      <c r="C17">
        <v>2100300025</v>
      </c>
      <c r="D17">
        <v>5126000</v>
      </c>
      <c r="E17" t="s">
        <v>188</v>
      </c>
      <c r="F17">
        <v>5203010111</v>
      </c>
      <c r="G17">
        <v>1</v>
      </c>
      <c r="I17" t="s">
        <v>174</v>
      </c>
      <c r="J17" t="s">
        <v>557</v>
      </c>
      <c r="K17" t="s">
        <v>186</v>
      </c>
      <c r="L17">
        <v>6533</v>
      </c>
    </row>
    <row r="18" spans="3:12">
      <c r="C18">
        <v>2100300025</v>
      </c>
      <c r="D18">
        <v>5226000</v>
      </c>
      <c r="E18" t="s">
        <v>188</v>
      </c>
      <c r="F18">
        <v>5203010111</v>
      </c>
      <c r="G18">
        <v>1</v>
      </c>
      <c r="I18" t="s">
        <v>174</v>
      </c>
      <c r="J18" t="s">
        <v>554</v>
      </c>
      <c r="K18" t="s">
        <v>186</v>
      </c>
      <c r="L18">
        <v>2914</v>
      </c>
    </row>
    <row r="19" spans="3:12">
      <c r="C19">
        <v>2100300025</v>
      </c>
      <c r="D19">
        <v>5326000</v>
      </c>
      <c r="E19" t="s">
        <v>188</v>
      </c>
      <c r="F19">
        <v>5203010111</v>
      </c>
      <c r="G19">
        <v>1</v>
      </c>
      <c r="I19" t="s">
        <v>174</v>
      </c>
      <c r="J19" t="s">
        <v>554</v>
      </c>
      <c r="K19" t="s">
        <v>186</v>
      </c>
      <c r="L19">
        <v>2915</v>
      </c>
    </row>
    <row r="20" spans="3:12">
      <c r="C20">
        <v>2100300025</v>
      </c>
      <c r="D20">
        <v>5426000</v>
      </c>
      <c r="E20" t="s">
        <v>188</v>
      </c>
      <c r="F20">
        <v>5203010111</v>
      </c>
      <c r="G20">
        <v>1</v>
      </c>
      <c r="I20" t="s">
        <v>174</v>
      </c>
      <c r="J20" t="s">
        <v>554</v>
      </c>
      <c r="K20" t="s">
        <v>186</v>
      </c>
      <c r="L20">
        <v>2898</v>
      </c>
    </row>
    <row r="21" spans="3:12">
      <c r="C21">
        <v>2100300025</v>
      </c>
      <c r="D21">
        <v>5426000</v>
      </c>
      <c r="E21" t="s">
        <v>188</v>
      </c>
      <c r="F21">
        <v>5203010111</v>
      </c>
      <c r="G21">
        <v>1</v>
      </c>
      <c r="I21" t="s">
        <v>174</v>
      </c>
      <c r="J21" t="s">
        <v>554</v>
      </c>
      <c r="K21" t="s">
        <v>186</v>
      </c>
      <c r="L21">
        <v>2899</v>
      </c>
    </row>
    <row r="22" spans="3:12">
      <c r="C22">
        <v>2100300025</v>
      </c>
      <c r="D22">
        <v>5626000</v>
      </c>
      <c r="E22" t="s">
        <v>188</v>
      </c>
      <c r="F22">
        <v>5203010111</v>
      </c>
      <c r="G22">
        <v>1</v>
      </c>
      <c r="I22" t="s">
        <v>174</v>
      </c>
      <c r="J22" t="s">
        <v>553</v>
      </c>
      <c r="K22" t="s">
        <v>186</v>
      </c>
      <c r="L22">
        <v>6176</v>
      </c>
    </row>
    <row r="23" spans="3:12">
      <c r="C23">
        <v>2100300025</v>
      </c>
      <c r="D23">
        <v>5831000</v>
      </c>
      <c r="E23" t="s">
        <v>188</v>
      </c>
      <c r="F23">
        <v>5203010111</v>
      </c>
      <c r="G23">
        <v>1</v>
      </c>
      <c r="I23" t="s">
        <v>174</v>
      </c>
      <c r="J23" t="s">
        <v>557</v>
      </c>
      <c r="K23" t="s">
        <v>186</v>
      </c>
      <c r="L23">
        <v>6530</v>
      </c>
    </row>
    <row r="24" spans="3:12">
      <c r="C24">
        <v>2100300025</v>
      </c>
      <c r="D24">
        <v>5831000</v>
      </c>
      <c r="E24" t="s">
        <v>188</v>
      </c>
      <c r="F24">
        <v>5203010111</v>
      </c>
      <c r="G24">
        <v>1</v>
      </c>
      <c r="I24" t="s">
        <v>174</v>
      </c>
      <c r="J24" t="s">
        <v>557</v>
      </c>
      <c r="K24" t="s">
        <v>186</v>
      </c>
      <c r="L24">
        <v>6525</v>
      </c>
    </row>
    <row r="25" spans="3:12">
      <c r="C25">
        <v>2100300025</v>
      </c>
      <c r="D25">
        <v>6131000</v>
      </c>
      <c r="E25" t="s">
        <v>188</v>
      </c>
      <c r="F25">
        <v>5203010111</v>
      </c>
      <c r="G25">
        <v>1</v>
      </c>
      <c r="I25" t="s">
        <v>174</v>
      </c>
      <c r="J25" t="s">
        <v>554</v>
      </c>
      <c r="K25" t="s">
        <v>186</v>
      </c>
      <c r="L25">
        <v>2913</v>
      </c>
    </row>
    <row r="26" spans="3:12">
      <c r="C26">
        <v>2100300025</v>
      </c>
      <c r="D26">
        <v>6131000</v>
      </c>
      <c r="E26" t="s">
        <v>188</v>
      </c>
      <c r="F26">
        <v>5203010111</v>
      </c>
      <c r="G26">
        <v>1</v>
      </c>
      <c r="I26" t="s">
        <v>174</v>
      </c>
      <c r="J26" t="s">
        <v>558</v>
      </c>
      <c r="K26" t="s">
        <v>186</v>
      </c>
      <c r="L26">
        <v>6446</v>
      </c>
    </row>
    <row r="27" spans="3:12">
      <c r="C27">
        <v>2100300025</v>
      </c>
      <c r="D27">
        <v>6131000</v>
      </c>
      <c r="E27" t="s">
        <v>188</v>
      </c>
      <c r="F27">
        <v>5203010111</v>
      </c>
      <c r="G27">
        <v>1</v>
      </c>
      <c r="I27" t="s">
        <v>174</v>
      </c>
      <c r="J27" t="s">
        <v>557</v>
      </c>
      <c r="K27" t="s">
        <v>186</v>
      </c>
      <c r="L27">
        <v>6518</v>
      </c>
    </row>
    <row r="28" spans="3:12">
      <c r="C28">
        <v>2100300025</v>
      </c>
      <c r="D28">
        <v>5026000</v>
      </c>
      <c r="E28" t="s">
        <v>188</v>
      </c>
      <c r="F28">
        <v>5203010114</v>
      </c>
      <c r="G28">
        <v>1</v>
      </c>
      <c r="I28" t="s">
        <v>174</v>
      </c>
      <c r="J28" t="s">
        <v>555</v>
      </c>
      <c r="K28" t="s">
        <v>556</v>
      </c>
      <c r="L28">
        <v>914</v>
      </c>
    </row>
    <row r="29" spans="3:12">
      <c r="C29">
        <v>2100300025</v>
      </c>
      <c r="D29">
        <v>5226000</v>
      </c>
      <c r="E29" t="s">
        <v>188</v>
      </c>
      <c r="F29">
        <v>5203010114</v>
      </c>
      <c r="G29">
        <v>1</v>
      </c>
      <c r="I29" t="s">
        <v>174</v>
      </c>
      <c r="J29" t="s">
        <v>555</v>
      </c>
      <c r="K29" t="s">
        <v>556</v>
      </c>
      <c r="L29">
        <v>915</v>
      </c>
    </row>
    <row r="30" spans="3:12">
      <c r="C30">
        <v>2100300025</v>
      </c>
      <c r="D30">
        <v>5526000</v>
      </c>
      <c r="E30" t="s">
        <v>188</v>
      </c>
      <c r="F30">
        <v>5203010114</v>
      </c>
      <c r="G30">
        <v>1</v>
      </c>
      <c r="I30" t="s">
        <v>174</v>
      </c>
      <c r="J30" t="s">
        <v>555</v>
      </c>
      <c r="K30" t="s">
        <v>556</v>
      </c>
      <c r="L30">
        <v>909</v>
      </c>
    </row>
    <row r="31" spans="3:12">
      <c r="C31">
        <v>2100300025</v>
      </c>
      <c r="D31">
        <v>6131000</v>
      </c>
      <c r="E31" t="s">
        <v>188</v>
      </c>
      <c r="F31">
        <v>5203010114</v>
      </c>
      <c r="G31">
        <v>1</v>
      </c>
      <c r="I31" t="s">
        <v>174</v>
      </c>
      <c r="J31" t="s">
        <v>553</v>
      </c>
      <c r="K31" t="s">
        <v>556</v>
      </c>
      <c r="L31">
        <v>6187</v>
      </c>
    </row>
    <row r="32" spans="3:12">
      <c r="C32">
        <v>2100300025</v>
      </c>
      <c r="D32">
        <v>5326000</v>
      </c>
      <c r="E32" t="s">
        <v>188</v>
      </c>
      <c r="F32">
        <v>5203010119</v>
      </c>
      <c r="G32">
        <v>1</v>
      </c>
      <c r="I32" t="s">
        <v>174</v>
      </c>
      <c r="J32" t="s">
        <v>553</v>
      </c>
      <c r="K32" t="s">
        <v>495</v>
      </c>
      <c r="L32">
        <v>6185</v>
      </c>
    </row>
    <row r="33" spans="3:12">
      <c r="C33">
        <v>2100300025</v>
      </c>
      <c r="D33">
        <v>5426000</v>
      </c>
      <c r="E33" t="s">
        <v>188</v>
      </c>
      <c r="F33">
        <v>5203010119</v>
      </c>
      <c r="G33">
        <v>1</v>
      </c>
      <c r="I33" t="s">
        <v>174</v>
      </c>
      <c r="J33" t="s">
        <v>559</v>
      </c>
      <c r="K33" t="s">
        <v>495</v>
      </c>
      <c r="L33">
        <v>5202</v>
      </c>
    </row>
    <row r="34" spans="3:12">
      <c r="C34">
        <v>2100300025</v>
      </c>
      <c r="D34">
        <v>5426000</v>
      </c>
      <c r="E34" t="s">
        <v>188</v>
      </c>
      <c r="F34">
        <v>5203010119</v>
      </c>
      <c r="G34">
        <v>1</v>
      </c>
      <c r="I34" t="s">
        <v>174</v>
      </c>
      <c r="J34" t="s">
        <v>553</v>
      </c>
      <c r="K34" t="s">
        <v>495</v>
      </c>
      <c r="L34">
        <v>6190</v>
      </c>
    </row>
    <row r="35" spans="3:12">
      <c r="C35">
        <v>2100300025</v>
      </c>
      <c r="D35">
        <v>5426000</v>
      </c>
      <c r="E35" t="s">
        <v>188</v>
      </c>
      <c r="F35">
        <v>5203010119</v>
      </c>
      <c r="G35">
        <v>1</v>
      </c>
      <c r="I35" t="s">
        <v>174</v>
      </c>
      <c r="J35" t="s">
        <v>553</v>
      </c>
      <c r="K35" t="s">
        <v>495</v>
      </c>
      <c r="L35">
        <v>6191</v>
      </c>
    </row>
    <row r="36" spans="3:12">
      <c r="C36">
        <v>2100300025</v>
      </c>
      <c r="D36">
        <v>5726000</v>
      </c>
      <c r="E36" t="s">
        <v>188</v>
      </c>
      <c r="F36">
        <v>5203010119</v>
      </c>
      <c r="G36" s="13">
        <v>10475</v>
      </c>
      <c r="I36" t="s">
        <v>174</v>
      </c>
      <c r="J36" t="s">
        <v>555</v>
      </c>
      <c r="K36" t="s">
        <v>495</v>
      </c>
      <c r="L36">
        <v>918</v>
      </c>
    </row>
    <row r="37" spans="3:12">
      <c r="C37">
        <v>2100300025</v>
      </c>
      <c r="D37">
        <v>5226000</v>
      </c>
      <c r="E37" t="s">
        <v>188</v>
      </c>
      <c r="F37">
        <v>5203010111</v>
      </c>
      <c r="G37">
        <v>1</v>
      </c>
      <c r="I37" t="s">
        <v>174</v>
      </c>
      <c r="J37" t="s">
        <v>553</v>
      </c>
      <c r="K37" t="s">
        <v>186</v>
      </c>
      <c r="L37">
        <v>6163</v>
      </c>
    </row>
    <row r="38" spans="3:12">
      <c r="C38">
        <v>2100300025</v>
      </c>
      <c r="D38">
        <v>5126000</v>
      </c>
      <c r="E38" t="s">
        <v>188</v>
      </c>
      <c r="F38">
        <v>5203010119</v>
      </c>
      <c r="G38">
        <v>1</v>
      </c>
      <c r="I38" t="s">
        <v>174</v>
      </c>
      <c r="J38" t="s">
        <v>553</v>
      </c>
      <c r="K38" t="s">
        <v>495</v>
      </c>
      <c r="L38">
        <v>6164</v>
      </c>
    </row>
    <row r="39" spans="3:12">
      <c r="C39">
        <v>2100300025</v>
      </c>
      <c r="D39">
        <v>5626000</v>
      </c>
      <c r="E39" t="s">
        <v>188</v>
      </c>
      <c r="F39">
        <v>5203010119</v>
      </c>
      <c r="G39">
        <v>1</v>
      </c>
      <c r="I39" t="s">
        <v>174</v>
      </c>
      <c r="J39" t="s">
        <v>553</v>
      </c>
      <c r="K39" t="s">
        <v>495</v>
      </c>
      <c r="L39">
        <v>6166</v>
      </c>
    </row>
    <row r="40" spans="3:12">
      <c r="C40">
        <v>2100300025</v>
      </c>
      <c r="D40">
        <v>6131000</v>
      </c>
      <c r="E40" t="s">
        <v>188</v>
      </c>
      <c r="F40">
        <v>5203010111</v>
      </c>
      <c r="G40">
        <v>1</v>
      </c>
      <c r="I40" t="s">
        <v>174</v>
      </c>
      <c r="J40" t="s">
        <v>553</v>
      </c>
      <c r="K40" t="s">
        <v>186</v>
      </c>
      <c r="L40">
        <v>6173</v>
      </c>
    </row>
    <row r="41" spans="3:12">
      <c r="C41">
        <v>2100300025</v>
      </c>
      <c r="D41">
        <v>5126000</v>
      </c>
      <c r="E41" t="s">
        <v>188</v>
      </c>
      <c r="F41">
        <v>5203010111</v>
      </c>
      <c r="G41">
        <v>1</v>
      </c>
      <c r="I41" t="s">
        <v>174</v>
      </c>
      <c r="J41" t="s">
        <v>558</v>
      </c>
      <c r="K41" t="s">
        <v>186</v>
      </c>
      <c r="L41">
        <v>6443</v>
      </c>
    </row>
    <row r="42" spans="3:12">
      <c r="C42">
        <v>2100300025</v>
      </c>
      <c r="D42">
        <v>6026000</v>
      </c>
      <c r="E42" t="s">
        <v>188</v>
      </c>
      <c r="F42">
        <v>5203010111</v>
      </c>
      <c r="G42" s="13">
        <v>2315.5500000000002</v>
      </c>
      <c r="I42" t="s">
        <v>174</v>
      </c>
      <c r="J42" t="s">
        <v>558</v>
      </c>
      <c r="K42" t="s">
        <v>186</v>
      </c>
      <c r="L42">
        <v>6438</v>
      </c>
    </row>
    <row r="43" spans="3:12">
      <c r="C43">
        <v>2100300025</v>
      </c>
      <c r="D43">
        <v>4731000</v>
      </c>
      <c r="E43" t="s">
        <v>188</v>
      </c>
      <c r="F43">
        <v>5203010119</v>
      </c>
      <c r="G43">
        <v>1</v>
      </c>
      <c r="I43" t="s">
        <v>174</v>
      </c>
      <c r="J43" t="s">
        <v>553</v>
      </c>
      <c r="K43" t="s">
        <v>495</v>
      </c>
      <c r="L43">
        <v>6158</v>
      </c>
    </row>
    <row r="44" spans="3:12">
      <c r="C44">
        <v>2100300025</v>
      </c>
      <c r="D44">
        <v>5026000</v>
      </c>
      <c r="E44" t="s">
        <v>188</v>
      </c>
      <c r="F44">
        <v>5203010119</v>
      </c>
      <c r="G44">
        <v>1</v>
      </c>
      <c r="I44" t="s">
        <v>174</v>
      </c>
      <c r="J44" t="s">
        <v>553</v>
      </c>
      <c r="K44" t="s">
        <v>495</v>
      </c>
      <c r="L44">
        <v>6157</v>
      </c>
    </row>
    <row r="45" spans="3:12">
      <c r="C45">
        <v>2100300025</v>
      </c>
      <c r="D45">
        <v>5926000</v>
      </c>
      <c r="E45" t="s">
        <v>188</v>
      </c>
      <c r="F45">
        <v>5203010119</v>
      </c>
      <c r="G45">
        <v>1</v>
      </c>
      <c r="I45" t="s">
        <v>174</v>
      </c>
      <c r="J45" t="s">
        <v>553</v>
      </c>
      <c r="K45" t="s">
        <v>495</v>
      </c>
      <c r="L45">
        <v>6186</v>
      </c>
    </row>
    <row r="46" spans="3:12">
      <c r="C46">
        <v>2100300025</v>
      </c>
      <c r="D46">
        <v>6131000</v>
      </c>
      <c r="E46" t="s">
        <v>188</v>
      </c>
      <c r="F46">
        <v>5203010119</v>
      </c>
      <c r="G46">
        <v>1</v>
      </c>
      <c r="I46" t="s">
        <v>174</v>
      </c>
      <c r="J46" t="s">
        <v>558</v>
      </c>
      <c r="K46" t="s">
        <v>495</v>
      </c>
      <c r="L46">
        <v>6433</v>
      </c>
    </row>
    <row r="47" spans="3:12">
      <c r="C47">
        <v>2100300025</v>
      </c>
      <c r="D47">
        <v>4826000</v>
      </c>
      <c r="E47" t="s">
        <v>188</v>
      </c>
      <c r="F47">
        <v>5203010122</v>
      </c>
      <c r="G47">
        <v>1</v>
      </c>
      <c r="I47" t="s">
        <v>174</v>
      </c>
      <c r="J47" t="s">
        <v>553</v>
      </c>
      <c r="K47" t="s">
        <v>560</v>
      </c>
      <c r="L47">
        <v>6189</v>
      </c>
    </row>
    <row r="48" spans="3:12">
      <c r="C48">
        <v>2100300025</v>
      </c>
      <c r="D48">
        <v>4731000</v>
      </c>
      <c r="E48" t="s">
        <v>188</v>
      </c>
      <c r="F48">
        <v>5203010122</v>
      </c>
      <c r="G48">
        <v>1</v>
      </c>
      <c r="I48" t="s">
        <v>174</v>
      </c>
      <c r="J48" t="s">
        <v>553</v>
      </c>
      <c r="K48" t="s">
        <v>560</v>
      </c>
      <c r="L48">
        <v>6169</v>
      </c>
    </row>
    <row r="49" spans="3:12">
      <c r="C49">
        <v>2100300025</v>
      </c>
      <c r="D49">
        <v>5726000</v>
      </c>
      <c r="E49" t="s">
        <v>188</v>
      </c>
      <c r="F49">
        <v>5203010119</v>
      </c>
      <c r="G49">
        <v>351.78</v>
      </c>
      <c r="I49" t="s">
        <v>174</v>
      </c>
      <c r="J49" t="s">
        <v>553</v>
      </c>
      <c r="K49" t="s">
        <v>495</v>
      </c>
      <c r="L49">
        <v>6204</v>
      </c>
    </row>
    <row r="50" spans="3:12">
      <c r="C50">
        <v>2100300025</v>
      </c>
      <c r="D50">
        <v>4731000</v>
      </c>
      <c r="E50" t="s">
        <v>188</v>
      </c>
      <c r="F50">
        <v>5203010109</v>
      </c>
      <c r="G50">
        <v>1</v>
      </c>
      <c r="I50" t="s">
        <v>174</v>
      </c>
      <c r="J50" t="s">
        <v>561</v>
      </c>
      <c r="K50" t="s">
        <v>494</v>
      </c>
      <c r="L50">
        <v>4095</v>
      </c>
    </row>
    <row r="51" spans="3:12">
      <c r="C51">
        <v>2100300025</v>
      </c>
      <c r="D51">
        <v>4826000</v>
      </c>
      <c r="E51" t="s">
        <v>188</v>
      </c>
      <c r="F51">
        <v>5203010111</v>
      </c>
      <c r="G51">
        <v>1</v>
      </c>
      <c r="I51" t="s">
        <v>174</v>
      </c>
      <c r="J51" t="s">
        <v>554</v>
      </c>
      <c r="K51" t="s">
        <v>186</v>
      </c>
      <c r="L51">
        <v>2890</v>
      </c>
    </row>
    <row r="52" spans="3:12">
      <c r="C52">
        <v>2100300025</v>
      </c>
      <c r="D52">
        <v>4731000</v>
      </c>
      <c r="E52" t="s">
        <v>188</v>
      </c>
      <c r="F52">
        <v>5203010111</v>
      </c>
      <c r="G52">
        <v>1</v>
      </c>
      <c r="I52" t="s">
        <v>174</v>
      </c>
      <c r="J52" t="s">
        <v>562</v>
      </c>
      <c r="K52" t="s">
        <v>186</v>
      </c>
      <c r="L52">
        <v>2891</v>
      </c>
    </row>
    <row r="53" spans="3:12">
      <c r="C53">
        <v>2100300025</v>
      </c>
      <c r="D53">
        <v>6131000</v>
      </c>
      <c r="E53" t="s">
        <v>188</v>
      </c>
      <c r="F53">
        <v>5203010111</v>
      </c>
      <c r="G53">
        <v>1</v>
      </c>
      <c r="I53" t="s">
        <v>174</v>
      </c>
      <c r="J53" t="s">
        <v>554</v>
      </c>
      <c r="K53" t="s">
        <v>186</v>
      </c>
      <c r="L53">
        <v>2892</v>
      </c>
    </row>
    <row r="54" spans="3:12">
      <c r="C54">
        <v>2100300025</v>
      </c>
      <c r="D54">
        <v>4731000</v>
      </c>
      <c r="E54" t="s">
        <v>188</v>
      </c>
      <c r="F54">
        <v>5203010111</v>
      </c>
      <c r="G54">
        <v>1</v>
      </c>
      <c r="I54" t="s">
        <v>174</v>
      </c>
      <c r="J54" t="s">
        <v>554</v>
      </c>
      <c r="K54" t="s">
        <v>186</v>
      </c>
      <c r="L54">
        <v>2894</v>
      </c>
    </row>
    <row r="55" spans="3:12">
      <c r="C55">
        <v>2100300025</v>
      </c>
      <c r="D55">
        <v>5226000</v>
      </c>
      <c r="E55" t="s">
        <v>188</v>
      </c>
      <c r="F55">
        <v>5203010111</v>
      </c>
      <c r="G55">
        <v>1</v>
      </c>
      <c r="I55" t="s">
        <v>174</v>
      </c>
      <c r="J55" t="s">
        <v>554</v>
      </c>
      <c r="K55" t="s">
        <v>186</v>
      </c>
      <c r="L55">
        <v>2895</v>
      </c>
    </row>
    <row r="56" spans="3:12">
      <c r="C56">
        <v>2100300025</v>
      </c>
      <c r="D56">
        <v>5831000</v>
      </c>
      <c r="E56" t="s">
        <v>188</v>
      </c>
      <c r="F56">
        <v>5203010111</v>
      </c>
      <c r="G56">
        <v>1</v>
      </c>
      <c r="I56" t="s">
        <v>174</v>
      </c>
      <c r="J56" t="s">
        <v>554</v>
      </c>
      <c r="K56" t="s">
        <v>186</v>
      </c>
      <c r="L56">
        <v>2893</v>
      </c>
    </row>
    <row r="57" spans="3:12">
      <c r="C57">
        <v>2100300025</v>
      </c>
      <c r="D57">
        <v>4731000</v>
      </c>
      <c r="E57" t="s">
        <v>188</v>
      </c>
      <c r="F57">
        <v>5203010111</v>
      </c>
      <c r="G57">
        <v>1</v>
      </c>
      <c r="I57" t="s">
        <v>174</v>
      </c>
      <c r="J57" t="s">
        <v>553</v>
      </c>
      <c r="K57" t="s">
        <v>186</v>
      </c>
      <c r="L57">
        <v>6172</v>
      </c>
    </row>
    <row r="58" spans="3:12">
      <c r="C58">
        <v>2100300025</v>
      </c>
      <c r="D58">
        <v>5726000</v>
      </c>
      <c r="E58" t="s">
        <v>188</v>
      </c>
      <c r="F58">
        <v>5203010111</v>
      </c>
      <c r="G58" s="13">
        <v>2576.25</v>
      </c>
      <c r="I58" t="s">
        <v>174</v>
      </c>
      <c r="J58" t="s">
        <v>553</v>
      </c>
      <c r="K58" t="s">
        <v>186</v>
      </c>
      <c r="L58">
        <v>6161</v>
      </c>
    </row>
    <row r="59" spans="3:12">
      <c r="C59">
        <v>2100300025</v>
      </c>
      <c r="D59">
        <v>6131000</v>
      </c>
      <c r="E59" t="s">
        <v>188</v>
      </c>
      <c r="F59">
        <v>5203010111</v>
      </c>
      <c r="G59">
        <v>1</v>
      </c>
      <c r="I59" t="s">
        <v>174</v>
      </c>
      <c r="J59" t="s">
        <v>553</v>
      </c>
      <c r="K59" t="s">
        <v>186</v>
      </c>
      <c r="L59">
        <v>6170</v>
      </c>
    </row>
    <row r="60" spans="3:12">
      <c r="C60">
        <v>2100300025</v>
      </c>
      <c r="D60">
        <v>6131000</v>
      </c>
      <c r="E60" t="s">
        <v>188</v>
      </c>
      <c r="F60">
        <v>5203010111</v>
      </c>
      <c r="G60">
        <v>1</v>
      </c>
      <c r="I60" t="s">
        <v>174</v>
      </c>
      <c r="J60" t="s">
        <v>553</v>
      </c>
      <c r="K60" t="s">
        <v>186</v>
      </c>
      <c r="L60">
        <v>6171</v>
      </c>
    </row>
    <row r="61" spans="3:12">
      <c r="C61">
        <v>2100300025</v>
      </c>
      <c r="D61">
        <v>5426000</v>
      </c>
      <c r="E61" t="s">
        <v>188</v>
      </c>
      <c r="F61">
        <v>5203010113</v>
      </c>
      <c r="G61">
        <v>1</v>
      </c>
      <c r="I61" t="s">
        <v>174</v>
      </c>
      <c r="J61" t="s">
        <v>553</v>
      </c>
      <c r="K61" t="s">
        <v>524</v>
      </c>
      <c r="L61">
        <v>6167</v>
      </c>
    </row>
    <row r="62" spans="3:12">
      <c r="C62">
        <v>2100300025</v>
      </c>
      <c r="D62">
        <v>5726000</v>
      </c>
      <c r="E62" t="s">
        <v>188</v>
      </c>
      <c r="F62">
        <v>5203010119</v>
      </c>
      <c r="G62">
        <v>649.32000000000005</v>
      </c>
      <c r="I62" t="s">
        <v>174</v>
      </c>
      <c r="J62" t="s">
        <v>553</v>
      </c>
      <c r="K62" t="s">
        <v>495</v>
      </c>
      <c r="L62">
        <v>6162</v>
      </c>
    </row>
    <row r="63" spans="3:12">
      <c r="C63">
        <v>2100300025</v>
      </c>
      <c r="D63">
        <v>4731000</v>
      </c>
      <c r="E63" t="s">
        <v>188</v>
      </c>
      <c r="F63">
        <v>5203010111</v>
      </c>
      <c r="G63">
        <v>1</v>
      </c>
      <c r="I63" t="s">
        <v>174</v>
      </c>
      <c r="J63" t="s">
        <v>553</v>
      </c>
      <c r="K63" t="s">
        <v>186</v>
      </c>
      <c r="L63">
        <v>6212</v>
      </c>
    </row>
    <row r="64" spans="3:12">
      <c r="C64">
        <v>2100300025</v>
      </c>
      <c r="D64">
        <v>5126000</v>
      </c>
      <c r="E64" t="s">
        <v>188</v>
      </c>
      <c r="F64">
        <v>5203010111</v>
      </c>
      <c r="G64">
        <v>1</v>
      </c>
      <c r="I64" t="s">
        <v>174</v>
      </c>
      <c r="J64" t="s">
        <v>553</v>
      </c>
      <c r="K64" t="s">
        <v>186</v>
      </c>
      <c r="L64">
        <v>6211</v>
      </c>
    </row>
    <row r="65" spans="3:12">
      <c r="C65">
        <v>2100300025</v>
      </c>
      <c r="D65">
        <v>4731000</v>
      </c>
      <c r="E65" t="s">
        <v>188</v>
      </c>
      <c r="F65">
        <v>5203010111</v>
      </c>
      <c r="G65">
        <v>1</v>
      </c>
      <c r="I65" t="s">
        <v>174</v>
      </c>
      <c r="J65" t="s">
        <v>553</v>
      </c>
      <c r="K65" t="s">
        <v>186</v>
      </c>
      <c r="L65">
        <v>6213</v>
      </c>
    </row>
    <row r="66" spans="3:12">
      <c r="C66">
        <v>2100300025</v>
      </c>
      <c r="D66">
        <v>5226000</v>
      </c>
      <c r="E66" t="s">
        <v>188</v>
      </c>
      <c r="F66">
        <v>5203010111</v>
      </c>
      <c r="G66">
        <v>1</v>
      </c>
      <c r="I66" t="s">
        <v>174</v>
      </c>
      <c r="J66" t="s">
        <v>553</v>
      </c>
      <c r="K66" t="s">
        <v>186</v>
      </c>
      <c r="L66">
        <v>6214</v>
      </c>
    </row>
    <row r="67" spans="3:12">
      <c r="C67">
        <v>2100300025</v>
      </c>
      <c r="D67">
        <v>5026000</v>
      </c>
      <c r="E67" t="s">
        <v>188</v>
      </c>
      <c r="F67">
        <v>5203010111</v>
      </c>
      <c r="G67">
        <v>1</v>
      </c>
      <c r="I67" t="s">
        <v>174</v>
      </c>
      <c r="J67" t="s">
        <v>553</v>
      </c>
      <c r="K67" t="s">
        <v>186</v>
      </c>
      <c r="L67">
        <v>6207</v>
      </c>
    </row>
    <row r="68" spans="3:12">
      <c r="C68">
        <v>2100300025</v>
      </c>
      <c r="D68">
        <v>5126000</v>
      </c>
      <c r="E68" t="s">
        <v>188</v>
      </c>
      <c r="F68">
        <v>5203010111</v>
      </c>
      <c r="G68">
        <v>1</v>
      </c>
      <c r="I68" t="s">
        <v>174</v>
      </c>
      <c r="J68" t="s">
        <v>553</v>
      </c>
      <c r="K68" t="s">
        <v>186</v>
      </c>
      <c r="L68">
        <v>6208</v>
      </c>
    </row>
    <row r="69" spans="3:12">
      <c r="C69">
        <v>2100300025</v>
      </c>
      <c r="D69">
        <v>5326000</v>
      </c>
      <c r="E69" t="s">
        <v>188</v>
      </c>
      <c r="F69">
        <v>5203010111</v>
      </c>
      <c r="G69">
        <v>1</v>
      </c>
      <c r="I69" t="s">
        <v>174</v>
      </c>
      <c r="J69" t="s">
        <v>553</v>
      </c>
      <c r="K69" t="s">
        <v>186</v>
      </c>
      <c r="L69">
        <v>6215</v>
      </c>
    </row>
    <row r="70" spans="3:12">
      <c r="C70">
        <v>2100300025</v>
      </c>
      <c r="D70">
        <v>5826000</v>
      </c>
      <c r="E70" t="s">
        <v>188</v>
      </c>
      <c r="F70">
        <v>5203010111</v>
      </c>
      <c r="G70" s="13">
        <v>2068.64</v>
      </c>
      <c r="I70" t="s">
        <v>174</v>
      </c>
      <c r="J70" t="s">
        <v>553</v>
      </c>
      <c r="K70" t="s">
        <v>186</v>
      </c>
      <c r="L70">
        <v>6205</v>
      </c>
    </row>
    <row r="71" spans="3:12">
      <c r="C71">
        <v>2100300025</v>
      </c>
      <c r="D71">
        <v>6131000</v>
      </c>
      <c r="E71" t="s">
        <v>188</v>
      </c>
      <c r="F71">
        <v>5203010111</v>
      </c>
      <c r="G71">
        <v>1</v>
      </c>
      <c r="I71" t="s">
        <v>174</v>
      </c>
      <c r="J71" t="s">
        <v>553</v>
      </c>
      <c r="K71" t="s">
        <v>186</v>
      </c>
      <c r="L71">
        <v>6206</v>
      </c>
    </row>
    <row r="72" spans="3:12">
      <c r="C72">
        <v>2100300025</v>
      </c>
      <c r="D72">
        <v>4731000</v>
      </c>
      <c r="E72" t="s">
        <v>188</v>
      </c>
      <c r="F72">
        <v>5203010113</v>
      </c>
      <c r="G72">
        <v>1</v>
      </c>
      <c r="I72" t="s">
        <v>174</v>
      </c>
      <c r="J72" t="s">
        <v>553</v>
      </c>
      <c r="K72" t="s">
        <v>524</v>
      </c>
      <c r="L72">
        <v>6198</v>
      </c>
    </row>
    <row r="73" spans="3:12">
      <c r="C73">
        <v>2100300025</v>
      </c>
      <c r="D73">
        <v>5426000</v>
      </c>
      <c r="E73" t="s">
        <v>188</v>
      </c>
      <c r="F73">
        <v>5203010113</v>
      </c>
      <c r="G73">
        <v>1</v>
      </c>
      <c r="I73" t="s">
        <v>174</v>
      </c>
      <c r="J73" t="s">
        <v>553</v>
      </c>
      <c r="K73" t="s">
        <v>524</v>
      </c>
      <c r="L73">
        <v>6200</v>
      </c>
    </row>
    <row r="74" spans="3:12">
      <c r="C74">
        <v>2100300025</v>
      </c>
      <c r="D74">
        <v>5426000</v>
      </c>
      <c r="E74" t="s">
        <v>188</v>
      </c>
      <c r="F74">
        <v>5203010113</v>
      </c>
      <c r="G74">
        <v>1</v>
      </c>
      <c r="I74" t="s">
        <v>174</v>
      </c>
      <c r="J74" t="s">
        <v>553</v>
      </c>
      <c r="K74" t="s">
        <v>524</v>
      </c>
      <c r="L74">
        <v>6201</v>
      </c>
    </row>
    <row r="75" spans="3:12">
      <c r="C75">
        <v>2100300025</v>
      </c>
      <c r="D75">
        <v>5426000</v>
      </c>
      <c r="E75" t="s">
        <v>188</v>
      </c>
      <c r="F75">
        <v>5203010113</v>
      </c>
      <c r="G75">
        <v>1</v>
      </c>
      <c r="I75" t="s">
        <v>174</v>
      </c>
      <c r="J75" t="s">
        <v>553</v>
      </c>
      <c r="K75" t="s">
        <v>524</v>
      </c>
      <c r="L75">
        <v>6202</v>
      </c>
    </row>
    <row r="76" spans="3:12">
      <c r="C76">
        <v>2100300025</v>
      </c>
      <c r="D76">
        <v>5426000</v>
      </c>
      <c r="E76" t="s">
        <v>188</v>
      </c>
      <c r="F76">
        <v>5203010114</v>
      </c>
      <c r="G76">
        <v>1</v>
      </c>
      <c r="I76" t="s">
        <v>174</v>
      </c>
      <c r="J76" t="s">
        <v>553</v>
      </c>
      <c r="K76" t="s">
        <v>556</v>
      </c>
      <c r="L76">
        <v>6203</v>
      </c>
    </row>
    <row r="77" spans="3:12">
      <c r="C77">
        <v>2100300025</v>
      </c>
      <c r="D77">
        <v>5126000</v>
      </c>
      <c r="E77" t="s">
        <v>188</v>
      </c>
      <c r="F77">
        <v>5203010114</v>
      </c>
      <c r="G77">
        <v>1</v>
      </c>
      <c r="I77" t="s">
        <v>174</v>
      </c>
      <c r="J77" t="s">
        <v>553</v>
      </c>
      <c r="K77" t="s">
        <v>556</v>
      </c>
      <c r="L77">
        <v>6209</v>
      </c>
    </row>
    <row r="78" spans="3:12">
      <c r="C78">
        <v>2100300025</v>
      </c>
      <c r="D78">
        <v>6026000</v>
      </c>
      <c r="E78" t="s">
        <v>188</v>
      </c>
      <c r="F78">
        <v>5203010122</v>
      </c>
      <c r="G78">
        <v>648.6</v>
      </c>
      <c r="I78" t="s">
        <v>174</v>
      </c>
      <c r="J78" t="s">
        <v>553</v>
      </c>
      <c r="K78" t="s">
        <v>560</v>
      </c>
      <c r="L78">
        <v>6210</v>
      </c>
    </row>
    <row r="79" spans="3:12">
      <c r="C79">
        <v>2100300025</v>
      </c>
      <c r="D79">
        <v>5126000</v>
      </c>
      <c r="E79" t="s">
        <v>188</v>
      </c>
      <c r="F79">
        <v>5203010119</v>
      </c>
      <c r="G79">
        <v>1</v>
      </c>
      <c r="I79" t="s">
        <v>174</v>
      </c>
      <c r="J79" t="s">
        <v>553</v>
      </c>
      <c r="K79" t="s">
        <v>495</v>
      </c>
      <c r="L79">
        <v>6199</v>
      </c>
    </row>
    <row r="80" spans="3:12">
      <c r="C80">
        <v>2100300025</v>
      </c>
      <c r="D80">
        <v>4831000</v>
      </c>
      <c r="E80" t="s">
        <v>188</v>
      </c>
      <c r="F80">
        <v>5203010111</v>
      </c>
      <c r="G80">
        <v>1</v>
      </c>
      <c r="I80" t="s">
        <v>174</v>
      </c>
      <c r="J80" t="s">
        <v>557</v>
      </c>
      <c r="K80" t="s">
        <v>186</v>
      </c>
      <c r="L80">
        <v>6531</v>
      </c>
    </row>
    <row r="81" spans="3:12">
      <c r="C81">
        <v>2100300025</v>
      </c>
      <c r="D81">
        <v>5026000</v>
      </c>
      <c r="E81" t="s">
        <v>188</v>
      </c>
      <c r="F81">
        <v>5203010111</v>
      </c>
      <c r="G81">
        <v>1</v>
      </c>
      <c r="I81" t="s">
        <v>174</v>
      </c>
      <c r="J81" t="s">
        <v>554</v>
      </c>
      <c r="K81" t="s">
        <v>186</v>
      </c>
      <c r="L81">
        <v>2900</v>
      </c>
    </row>
    <row r="82" spans="3:12">
      <c r="C82">
        <v>2100300025</v>
      </c>
      <c r="D82">
        <v>5026000</v>
      </c>
      <c r="E82" t="s">
        <v>188</v>
      </c>
      <c r="F82">
        <v>5203010111</v>
      </c>
      <c r="G82">
        <v>1</v>
      </c>
      <c r="I82" t="s">
        <v>174</v>
      </c>
      <c r="J82" t="s">
        <v>554</v>
      </c>
      <c r="K82" t="s">
        <v>186</v>
      </c>
      <c r="L82">
        <v>2906</v>
      </c>
    </row>
    <row r="83" spans="3:12">
      <c r="C83">
        <v>2100300025</v>
      </c>
      <c r="D83">
        <v>5326000</v>
      </c>
      <c r="E83" t="s">
        <v>188</v>
      </c>
      <c r="F83">
        <v>5203010111</v>
      </c>
      <c r="G83">
        <v>1</v>
      </c>
      <c r="I83" t="s">
        <v>174</v>
      </c>
      <c r="J83" t="s">
        <v>554</v>
      </c>
      <c r="K83" t="s">
        <v>186</v>
      </c>
      <c r="L83">
        <v>2908</v>
      </c>
    </row>
    <row r="84" spans="3:12">
      <c r="C84">
        <v>2100300025</v>
      </c>
      <c r="D84">
        <v>5426000</v>
      </c>
      <c r="E84" t="s">
        <v>188</v>
      </c>
      <c r="F84">
        <v>5203010111</v>
      </c>
      <c r="G84">
        <v>1</v>
      </c>
      <c r="I84" t="s">
        <v>174</v>
      </c>
      <c r="J84" t="s">
        <v>554</v>
      </c>
      <c r="K84" t="s">
        <v>186</v>
      </c>
      <c r="L84">
        <v>2907</v>
      </c>
    </row>
    <row r="85" spans="3:12">
      <c r="C85">
        <v>2100300025</v>
      </c>
      <c r="D85">
        <v>5831000</v>
      </c>
      <c r="E85" t="s">
        <v>188</v>
      </c>
      <c r="F85">
        <v>5203010111</v>
      </c>
      <c r="G85">
        <v>1</v>
      </c>
      <c r="I85" t="s">
        <v>174</v>
      </c>
      <c r="J85" t="s">
        <v>554</v>
      </c>
      <c r="K85" t="s">
        <v>186</v>
      </c>
      <c r="L85">
        <v>2909</v>
      </c>
    </row>
    <row r="86" spans="3:12">
      <c r="C86">
        <v>2100300025</v>
      </c>
      <c r="D86">
        <v>5126000</v>
      </c>
      <c r="E86" t="s">
        <v>188</v>
      </c>
      <c r="F86">
        <v>5203010111</v>
      </c>
      <c r="G86">
        <v>1</v>
      </c>
      <c r="I86" t="s">
        <v>174</v>
      </c>
      <c r="J86" t="s">
        <v>554</v>
      </c>
      <c r="K86" t="s">
        <v>186</v>
      </c>
      <c r="L86">
        <v>2896</v>
      </c>
    </row>
    <row r="87" spans="3:12">
      <c r="C87">
        <v>2100300025</v>
      </c>
      <c r="D87">
        <v>5126000</v>
      </c>
      <c r="E87" t="s">
        <v>188</v>
      </c>
      <c r="F87">
        <v>5203010111</v>
      </c>
      <c r="G87">
        <v>1</v>
      </c>
      <c r="I87" t="s">
        <v>174</v>
      </c>
      <c r="J87" t="s">
        <v>553</v>
      </c>
      <c r="K87" t="s">
        <v>186</v>
      </c>
      <c r="L87">
        <v>6175</v>
      </c>
    </row>
    <row r="88" spans="3:12">
      <c r="C88">
        <v>2100300025</v>
      </c>
      <c r="D88">
        <v>5126000</v>
      </c>
      <c r="E88" t="s">
        <v>188</v>
      </c>
      <c r="F88">
        <v>5203010111</v>
      </c>
      <c r="G88">
        <v>1</v>
      </c>
      <c r="I88" t="s">
        <v>174</v>
      </c>
      <c r="J88" t="s">
        <v>558</v>
      </c>
      <c r="K88" t="s">
        <v>186</v>
      </c>
      <c r="L88">
        <v>6442</v>
      </c>
    </row>
    <row r="89" spans="3:12">
      <c r="C89">
        <v>2100300025</v>
      </c>
      <c r="D89">
        <v>6131000</v>
      </c>
      <c r="E89" t="s">
        <v>188</v>
      </c>
      <c r="F89">
        <v>5203010111</v>
      </c>
      <c r="G89">
        <v>1</v>
      </c>
      <c r="I89" t="s">
        <v>174</v>
      </c>
      <c r="J89" t="s">
        <v>558</v>
      </c>
      <c r="K89" t="s">
        <v>186</v>
      </c>
      <c r="L89">
        <v>6441</v>
      </c>
    </row>
    <row r="90" spans="3:12">
      <c r="C90">
        <v>2100300025</v>
      </c>
      <c r="D90">
        <v>5226000</v>
      </c>
      <c r="E90" t="s">
        <v>188</v>
      </c>
      <c r="F90">
        <v>5203010111</v>
      </c>
      <c r="G90">
        <v>1</v>
      </c>
      <c r="I90" t="s">
        <v>174</v>
      </c>
      <c r="J90" t="s">
        <v>554</v>
      </c>
      <c r="K90" t="s">
        <v>186</v>
      </c>
      <c r="L90">
        <v>2903</v>
      </c>
    </row>
    <row r="91" spans="3:12">
      <c r="C91">
        <v>2100300025</v>
      </c>
      <c r="D91">
        <v>5226000</v>
      </c>
      <c r="E91" t="s">
        <v>188</v>
      </c>
      <c r="F91">
        <v>5203010111</v>
      </c>
      <c r="G91">
        <v>1</v>
      </c>
      <c r="I91" t="s">
        <v>174</v>
      </c>
      <c r="J91" t="s">
        <v>554</v>
      </c>
      <c r="K91" t="s">
        <v>186</v>
      </c>
      <c r="L91">
        <v>2904</v>
      </c>
    </row>
    <row r="92" spans="3:12">
      <c r="C92">
        <v>2100300025</v>
      </c>
      <c r="D92">
        <v>5426000</v>
      </c>
      <c r="E92" t="s">
        <v>188</v>
      </c>
      <c r="F92">
        <v>5203010111</v>
      </c>
      <c r="G92">
        <v>1</v>
      </c>
      <c r="I92" t="s">
        <v>174</v>
      </c>
      <c r="J92" t="s">
        <v>554</v>
      </c>
      <c r="K92" t="s">
        <v>186</v>
      </c>
      <c r="L92">
        <v>2902</v>
      </c>
    </row>
    <row r="93" spans="3:12">
      <c r="C93">
        <v>2100300025</v>
      </c>
      <c r="D93">
        <v>6131000</v>
      </c>
      <c r="E93" t="s">
        <v>188</v>
      </c>
      <c r="F93">
        <v>5203010111</v>
      </c>
      <c r="G93">
        <v>1</v>
      </c>
      <c r="I93" t="s">
        <v>174</v>
      </c>
      <c r="J93" t="s">
        <v>554</v>
      </c>
      <c r="K93" t="s">
        <v>186</v>
      </c>
      <c r="L93">
        <v>2901</v>
      </c>
    </row>
    <row r="94" spans="3:12">
      <c r="C94">
        <v>2100300025</v>
      </c>
      <c r="D94">
        <v>5426000</v>
      </c>
      <c r="E94" t="s">
        <v>188</v>
      </c>
      <c r="F94">
        <v>5203010111</v>
      </c>
      <c r="G94">
        <v>1</v>
      </c>
      <c r="I94" t="s">
        <v>174</v>
      </c>
      <c r="J94" t="s">
        <v>554</v>
      </c>
      <c r="K94" t="s">
        <v>186</v>
      </c>
      <c r="L94">
        <v>2897</v>
      </c>
    </row>
    <row r="95" spans="3:12">
      <c r="C95">
        <v>2100300025</v>
      </c>
      <c r="D95">
        <v>5626000</v>
      </c>
      <c r="E95" t="s">
        <v>188</v>
      </c>
      <c r="F95">
        <v>5203010111</v>
      </c>
      <c r="G95" s="13">
        <v>14443.6</v>
      </c>
      <c r="I95" t="s">
        <v>174</v>
      </c>
      <c r="J95" t="s">
        <v>554</v>
      </c>
      <c r="K95" t="s">
        <v>186</v>
      </c>
      <c r="L95">
        <v>2916</v>
      </c>
    </row>
    <row r="96" spans="3:12">
      <c r="C96">
        <v>2100300025</v>
      </c>
      <c r="D96">
        <v>5626000</v>
      </c>
      <c r="E96" t="s">
        <v>188</v>
      </c>
      <c r="F96">
        <v>5203010111</v>
      </c>
      <c r="G96" s="13">
        <v>17438.02</v>
      </c>
      <c r="I96" t="s">
        <v>174</v>
      </c>
      <c r="J96" t="s">
        <v>554</v>
      </c>
      <c r="K96" t="s">
        <v>186</v>
      </c>
      <c r="L96">
        <v>2917</v>
      </c>
    </row>
    <row r="97" spans="3:12">
      <c r="C97">
        <v>2100300025</v>
      </c>
      <c r="D97">
        <v>5831000</v>
      </c>
      <c r="E97" t="s">
        <v>188</v>
      </c>
      <c r="F97">
        <v>5203010111</v>
      </c>
      <c r="G97">
        <v>1</v>
      </c>
      <c r="I97" t="s">
        <v>174</v>
      </c>
      <c r="J97" t="s">
        <v>557</v>
      </c>
      <c r="K97" t="s">
        <v>186</v>
      </c>
      <c r="L97">
        <v>6529</v>
      </c>
    </row>
    <row r="98" spans="3:12">
      <c r="C98">
        <v>2100300025</v>
      </c>
      <c r="D98">
        <v>5831000</v>
      </c>
      <c r="E98" t="s">
        <v>188</v>
      </c>
      <c r="F98">
        <v>5203010111</v>
      </c>
      <c r="G98">
        <v>1</v>
      </c>
      <c r="I98" t="s">
        <v>174</v>
      </c>
      <c r="J98" t="s">
        <v>557</v>
      </c>
      <c r="K98" t="s">
        <v>186</v>
      </c>
      <c r="L98">
        <v>6528</v>
      </c>
    </row>
    <row r="99" spans="3:12">
      <c r="C99">
        <v>2100300025</v>
      </c>
      <c r="D99">
        <v>5831000</v>
      </c>
      <c r="E99" t="s">
        <v>188</v>
      </c>
      <c r="F99">
        <v>5203010111</v>
      </c>
      <c r="G99">
        <v>1</v>
      </c>
      <c r="I99" t="s">
        <v>174</v>
      </c>
      <c r="J99" t="s">
        <v>557</v>
      </c>
      <c r="K99" t="s">
        <v>186</v>
      </c>
      <c r="L99">
        <v>6526</v>
      </c>
    </row>
    <row r="100" spans="3:12">
      <c r="C100">
        <v>2100300025</v>
      </c>
      <c r="D100">
        <v>5831000</v>
      </c>
      <c r="E100" t="s">
        <v>188</v>
      </c>
      <c r="F100">
        <v>5203010111</v>
      </c>
      <c r="G100">
        <v>1</v>
      </c>
      <c r="I100" t="s">
        <v>174</v>
      </c>
      <c r="J100" t="s">
        <v>557</v>
      </c>
      <c r="K100" t="s">
        <v>186</v>
      </c>
      <c r="L100">
        <v>6527</v>
      </c>
    </row>
    <row r="101" spans="3:12">
      <c r="C101">
        <v>2100300025</v>
      </c>
      <c r="D101">
        <v>6026000</v>
      </c>
      <c r="E101" t="s">
        <v>188</v>
      </c>
      <c r="F101">
        <v>5203010111</v>
      </c>
      <c r="G101" s="13">
        <v>2315.5500000000002</v>
      </c>
      <c r="I101" t="s">
        <v>174</v>
      </c>
      <c r="J101" t="s">
        <v>558</v>
      </c>
      <c r="K101" t="s">
        <v>186</v>
      </c>
      <c r="L101">
        <v>6437</v>
      </c>
    </row>
    <row r="102" spans="3:12">
      <c r="C102">
        <v>2100300025</v>
      </c>
      <c r="D102">
        <v>6131000</v>
      </c>
      <c r="E102" t="s">
        <v>188</v>
      </c>
      <c r="F102">
        <v>5203010111</v>
      </c>
      <c r="G102">
        <v>1</v>
      </c>
      <c r="I102" t="s">
        <v>174</v>
      </c>
      <c r="J102" t="s">
        <v>558</v>
      </c>
      <c r="K102" t="s">
        <v>186</v>
      </c>
      <c r="L102">
        <v>6439</v>
      </c>
    </row>
    <row r="103" spans="3:12">
      <c r="C103">
        <v>2100300025</v>
      </c>
      <c r="D103">
        <v>6131000</v>
      </c>
      <c r="E103" t="s">
        <v>188</v>
      </c>
      <c r="F103">
        <v>5203010111</v>
      </c>
      <c r="G103">
        <v>1</v>
      </c>
      <c r="I103" t="s">
        <v>174</v>
      </c>
      <c r="J103" t="s">
        <v>554</v>
      </c>
      <c r="K103" t="s">
        <v>186</v>
      </c>
      <c r="L103">
        <v>2889</v>
      </c>
    </row>
    <row r="104" spans="3:12">
      <c r="C104">
        <v>2100300025</v>
      </c>
      <c r="D104">
        <v>6131000</v>
      </c>
      <c r="E104" t="s">
        <v>188</v>
      </c>
      <c r="F104">
        <v>5203010111</v>
      </c>
      <c r="G104">
        <v>1</v>
      </c>
      <c r="I104" t="s">
        <v>174</v>
      </c>
      <c r="J104" t="s">
        <v>554</v>
      </c>
      <c r="K104" t="s">
        <v>186</v>
      </c>
      <c r="L104">
        <v>2905</v>
      </c>
    </row>
    <row r="105" spans="3:12">
      <c r="C105">
        <v>2100300025</v>
      </c>
      <c r="D105">
        <v>6131000</v>
      </c>
      <c r="E105" t="s">
        <v>188</v>
      </c>
      <c r="F105">
        <v>5203010111</v>
      </c>
      <c r="G105">
        <v>1</v>
      </c>
      <c r="I105" t="s">
        <v>174</v>
      </c>
      <c r="J105" t="s">
        <v>563</v>
      </c>
      <c r="K105" t="s">
        <v>186</v>
      </c>
      <c r="L105">
        <v>3004</v>
      </c>
    </row>
    <row r="106" spans="3:12">
      <c r="C106">
        <v>2100300025</v>
      </c>
      <c r="D106">
        <v>6131000</v>
      </c>
      <c r="E106" t="s">
        <v>188</v>
      </c>
      <c r="F106">
        <v>5203010111</v>
      </c>
      <c r="G106">
        <v>1</v>
      </c>
      <c r="I106" t="s">
        <v>174</v>
      </c>
      <c r="J106" t="s">
        <v>563</v>
      </c>
      <c r="K106" t="s">
        <v>186</v>
      </c>
      <c r="L106">
        <v>3005</v>
      </c>
    </row>
    <row r="107" spans="3:12">
      <c r="C107">
        <v>2100300025</v>
      </c>
      <c r="D107">
        <v>6131000</v>
      </c>
      <c r="E107" t="s">
        <v>188</v>
      </c>
      <c r="F107">
        <v>5203010111</v>
      </c>
      <c r="G107">
        <v>1</v>
      </c>
      <c r="I107" t="s">
        <v>174</v>
      </c>
      <c r="J107" t="s">
        <v>558</v>
      </c>
      <c r="K107" t="s">
        <v>186</v>
      </c>
      <c r="L107">
        <v>6440</v>
      </c>
    </row>
    <row r="108" spans="3:12">
      <c r="C108">
        <v>2100300025</v>
      </c>
      <c r="D108">
        <v>6131000</v>
      </c>
      <c r="E108" t="s">
        <v>188</v>
      </c>
      <c r="F108">
        <v>5203010111</v>
      </c>
      <c r="G108">
        <v>1</v>
      </c>
      <c r="I108" t="s">
        <v>174</v>
      </c>
      <c r="J108" t="s">
        <v>557</v>
      </c>
      <c r="K108" t="s">
        <v>186</v>
      </c>
      <c r="L108">
        <v>6515</v>
      </c>
    </row>
    <row r="109" spans="3:12">
      <c r="C109">
        <v>2100300025</v>
      </c>
      <c r="D109">
        <v>6131000</v>
      </c>
      <c r="E109" t="s">
        <v>188</v>
      </c>
      <c r="F109">
        <v>5203010111</v>
      </c>
      <c r="G109">
        <v>1</v>
      </c>
      <c r="I109" t="s">
        <v>174</v>
      </c>
      <c r="J109" t="s">
        <v>557</v>
      </c>
      <c r="K109" t="s">
        <v>186</v>
      </c>
      <c r="L109">
        <v>6516</v>
      </c>
    </row>
    <row r="110" spans="3:12">
      <c r="C110">
        <v>2100300025</v>
      </c>
      <c r="D110">
        <v>6131000</v>
      </c>
      <c r="E110" t="s">
        <v>188</v>
      </c>
      <c r="F110">
        <v>5203010111</v>
      </c>
      <c r="G110">
        <v>1</v>
      </c>
      <c r="I110" t="s">
        <v>174</v>
      </c>
      <c r="J110" t="s">
        <v>557</v>
      </c>
      <c r="K110" t="s">
        <v>186</v>
      </c>
      <c r="L110">
        <v>6517</v>
      </c>
    </row>
    <row r="111" spans="3:12">
      <c r="C111">
        <v>2100300025</v>
      </c>
      <c r="D111">
        <v>6131000</v>
      </c>
      <c r="E111" t="s">
        <v>188</v>
      </c>
      <c r="F111">
        <v>5203010111</v>
      </c>
      <c r="G111">
        <v>1</v>
      </c>
      <c r="I111" t="s">
        <v>174</v>
      </c>
      <c r="J111" t="s">
        <v>557</v>
      </c>
      <c r="K111" t="s">
        <v>186</v>
      </c>
      <c r="L111">
        <v>6519</v>
      </c>
    </row>
    <row r="112" spans="3:12">
      <c r="C112">
        <v>2100300025</v>
      </c>
      <c r="D112">
        <v>6131000</v>
      </c>
      <c r="E112" t="s">
        <v>188</v>
      </c>
      <c r="F112">
        <v>5203010111</v>
      </c>
      <c r="G112">
        <v>1</v>
      </c>
      <c r="I112" t="s">
        <v>174</v>
      </c>
      <c r="J112" t="s">
        <v>557</v>
      </c>
      <c r="K112" t="s">
        <v>186</v>
      </c>
      <c r="L112">
        <v>6520</v>
      </c>
    </row>
    <row r="113" spans="3:13">
      <c r="C113">
        <v>2100300025</v>
      </c>
      <c r="D113">
        <v>6131000</v>
      </c>
      <c r="E113" t="s">
        <v>188</v>
      </c>
      <c r="F113">
        <v>5203010111</v>
      </c>
      <c r="G113">
        <v>1</v>
      </c>
      <c r="I113" t="s">
        <v>174</v>
      </c>
      <c r="J113" t="s">
        <v>557</v>
      </c>
      <c r="K113" t="s">
        <v>186</v>
      </c>
      <c r="L113">
        <v>6521</v>
      </c>
    </row>
    <row r="114" spans="3:13">
      <c r="C114">
        <v>2100300025</v>
      </c>
      <c r="D114">
        <v>6131000</v>
      </c>
      <c r="E114" t="s">
        <v>188</v>
      </c>
      <c r="F114">
        <v>5203010111</v>
      </c>
      <c r="G114">
        <v>1</v>
      </c>
      <c r="I114" t="s">
        <v>174</v>
      </c>
      <c r="J114" t="s">
        <v>557</v>
      </c>
      <c r="K114" t="s">
        <v>186</v>
      </c>
      <c r="L114">
        <v>6522</v>
      </c>
    </row>
    <row r="115" spans="3:13">
      <c r="C115">
        <v>2100300025</v>
      </c>
      <c r="D115">
        <v>6426000</v>
      </c>
      <c r="E115" t="s">
        <v>188</v>
      </c>
      <c r="F115">
        <v>5203010111</v>
      </c>
      <c r="G115" s="13">
        <v>699138</v>
      </c>
      <c r="I115" t="s">
        <v>174</v>
      </c>
      <c r="J115" t="s">
        <v>564</v>
      </c>
      <c r="K115" t="s">
        <v>186</v>
      </c>
      <c r="L115">
        <v>3603</v>
      </c>
      <c r="M115" t="s">
        <v>565</v>
      </c>
    </row>
    <row r="116" spans="3:13">
      <c r="C116">
        <v>2100300025</v>
      </c>
      <c r="D116">
        <v>5026000</v>
      </c>
      <c r="E116" t="s">
        <v>188</v>
      </c>
      <c r="F116">
        <v>5203010113</v>
      </c>
      <c r="G116">
        <v>1</v>
      </c>
      <c r="I116" t="s">
        <v>174</v>
      </c>
      <c r="J116" t="s">
        <v>553</v>
      </c>
      <c r="K116" t="s">
        <v>524</v>
      </c>
      <c r="L116">
        <v>6148</v>
      </c>
    </row>
    <row r="117" spans="3:13">
      <c r="C117">
        <v>2100300025</v>
      </c>
      <c r="D117">
        <v>4731000</v>
      </c>
      <c r="E117" t="s">
        <v>188</v>
      </c>
      <c r="F117">
        <v>5203010119</v>
      </c>
      <c r="G117">
        <v>1</v>
      </c>
      <c r="I117" t="s">
        <v>174</v>
      </c>
      <c r="J117" t="s">
        <v>553</v>
      </c>
      <c r="K117" t="s">
        <v>495</v>
      </c>
      <c r="L117">
        <v>6147</v>
      </c>
    </row>
    <row r="118" spans="3:13">
      <c r="C118">
        <v>2100300025</v>
      </c>
      <c r="D118">
        <v>4731000</v>
      </c>
      <c r="E118" t="s">
        <v>188</v>
      </c>
      <c r="F118">
        <v>5203010119</v>
      </c>
      <c r="G118">
        <v>1</v>
      </c>
      <c r="I118" t="s">
        <v>174</v>
      </c>
      <c r="J118" t="s">
        <v>553</v>
      </c>
      <c r="K118" t="s">
        <v>495</v>
      </c>
      <c r="L118">
        <v>6149</v>
      </c>
    </row>
    <row r="119" spans="3:13">
      <c r="C119">
        <v>2100300025</v>
      </c>
      <c r="D119">
        <v>4731000</v>
      </c>
      <c r="E119" t="s">
        <v>188</v>
      </c>
      <c r="F119">
        <v>5203010119</v>
      </c>
      <c r="G119">
        <v>1</v>
      </c>
      <c r="I119" t="s">
        <v>174</v>
      </c>
      <c r="J119" t="s">
        <v>553</v>
      </c>
      <c r="K119" t="s">
        <v>495</v>
      </c>
      <c r="L119">
        <v>6152</v>
      </c>
    </row>
    <row r="120" spans="3:13">
      <c r="C120">
        <v>2100300025</v>
      </c>
      <c r="D120">
        <v>5626000</v>
      </c>
      <c r="E120" t="s">
        <v>188</v>
      </c>
      <c r="F120">
        <v>5203010119</v>
      </c>
      <c r="G120">
        <v>1</v>
      </c>
      <c r="I120" t="s">
        <v>174</v>
      </c>
      <c r="J120" t="s">
        <v>553</v>
      </c>
      <c r="K120" t="s">
        <v>495</v>
      </c>
      <c r="L120">
        <v>6151</v>
      </c>
    </row>
    <row r="121" spans="3:13">
      <c r="C121">
        <v>2100300025</v>
      </c>
      <c r="D121">
        <v>6131000</v>
      </c>
      <c r="E121" t="s">
        <v>188</v>
      </c>
      <c r="F121">
        <v>5203010122</v>
      </c>
      <c r="G121">
        <v>1</v>
      </c>
      <c r="I121" t="s">
        <v>174</v>
      </c>
      <c r="J121" t="s">
        <v>553</v>
      </c>
      <c r="K121" t="s">
        <v>560</v>
      </c>
      <c r="L121">
        <v>6150</v>
      </c>
    </row>
    <row r="122" spans="3:13">
      <c r="C122">
        <v>2100300025</v>
      </c>
      <c r="D122">
        <v>6131000</v>
      </c>
      <c r="E122" t="s">
        <v>188</v>
      </c>
      <c r="F122">
        <v>5203010114</v>
      </c>
      <c r="G122">
        <v>1</v>
      </c>
      <c r="I122" t="s">
        <v>174</v>
      </c>
      <c r="J122" t="s">
        <v>555</v>
      </c>
      <c r="K122" t="s">
        <v>556</v>
      </c>
      <c r="L122">
        <v>910</v>
      </c>
    </row>
    <row r="123" spans="3:13">
      <c r="C123">
        <v>2100300025</v>
      </c>
      <c r="D123">
        <v>4731000</v>
      </c>
      <c r="E123" t="s">
        <v>188</v>
      </c>
      <c r="F123">
        <v>5203010119</v>
      </c>
      <c r="G123">
        <v>1</v>
      </c>
      <c r="I123" t="s">
        <v>174</v>
      </c>
      <c r="J123" t="s">
        <v>555</v>
      </c>
      <c r="K123" t="s">
        <v>495</v>
      </c>
      <c r="L123">
        <v>912</v>
      </c>
    </row>
    <row r="124" spans="3:13">
      <c r="C124">
        <v>2100300025</v>
      </c>
      <c r="D124">
        <v>4731000</v>
      </c>
      <c r="E124" t="s">
        <v>188</v>
      </c>
      <c r="F124">
        <v>5203010119</v>
      </c>
      <c r="G124">
        <v>1</v>
      </c>
      <c r="I124" t="s">
        <v>174</v>
      </c>
      <c r="J124" t="s">
        <v>555</v>
      </c>
      <c r="K124" t="s">
        <v>495</v>
      </c>
      <c r="L124">
        <v>913</v>
      </c>
    </row>
    <row r="125" spans="3:13">
      <c r="C125">
        <v>2100300025</v>
      </c>
      <c r="D125">
        <v>4731000</v>
      </c>
      <c r="E125" t="s">
        <v>188</v>
      </c>
      <c r="F125">
        <v>5203010119</v>
      </c>
      <c r="G125">
        <v>1</v>
      </c>
      <c r="I125" t="s">
        <v>174</v>
      </c>
      <c r="J125" t="s">
        <v>555</v>
      </c>
      <c r="K125" t="s">
        <v>495</v>
      </c>
      <c r="L125">
        <v>919</v>
      </c>
    </row>
    <row r="126" spans="3:13">
      <c r="C126">
        <v>2100300025</v>
      </c>
      <c r="D126">
        <v>4731000</v>
      </c>
      <c r="E126" t="s">
        <v>188</v>
      </c>
      <c r="F126">
        <v>5203010119</v>
      </c>
      <c r="G126">
        <v>1</v>
      </c>
      <c r="I126" t="s">
        <v>174</v>
      </c>
      <c r="J126" t="s">
        <v>555</v>
      </c>
      <c r="K126" t="s">
        <v>495</v>
      </c>
      <c r="L126">
        <v>920</v>
      </c>
    </row>
    <row r="127" spans="3:13">
      <c r="C127">
        <v>2100300025</v>
      </c>
      <c r="D127">
        <v>4731000</v>
      </c>
      <c r="E127" t="s">
        <v>188</v>
      </c>
      <c r="F127">
        <v>5203010119</v>
      </c>
      <c r="G127">
        <v>1</v>
      </c>
      <c r="I127" t="s">
        <v>174</v>
      </c>
      <c r="J127" t="s">
        <v>555</v>
      </c>
      <c r="K127" t="s">
        <v>495</v>
      </c>
      <c r="L127">
        <v>921</v>
      </c>
    </row>
    <row r="128" spans="3:13">
      <c r="C128">
        <v>2100300025</v>
      </c>
      <c r="D128">
        <v>4731000</v>
      </c>
      <c r="E128" t="s">
        <v>188</v>
      </c>
      <c r="F128">
        <v>5203010119</v>
      </c>
      <c r="G128">
        <v>1</v>
      </c>
      <c r="I128" t="s">
        <v>174</v>
      </c>
      <c r="J128" t="s">
        <v>553</v>
      </c>
      <c r="K128" t="s">
        <v>495</v>
      </c>
      <c r="L128">
        <v>6156</v>
      </c>
    </row>
    <row r="129" spans="3:12">
      <c r="C129">
        <v>2100300025</v>
      </c>
      <c r="D129">
        <v>5426000</v>
      </c>
      <c r="E129" t="s">
        <v>188</v>
      </c>
      <c r="F129">
        <v>5203010119</v>
      </c>
      <c r="G129">
        <v>1</v>
      </c>
      <c r="I129" t="s">
        <v>174</v>
      </c>
      <c r="J129" t="s">
        <v>553</v>
      </c>
      <c r="K129" t="s">
        <v>495</v>
      </c>
      <c r="L129">
        <v>6155</v>
      </c>
    </row>
    <row r="130" spans="3:12">
      <c r="C130">
        <v>2100300025</v>
      </c>
      <c r="D130">
        <v>4926000</v>
      </c>
      <c r="E130" t="s">
        <v>188</v>
      </c>
      <c r="F130">
        <v>5203010119</v>
      </c>
      <c r="G130">
        <v>1</v>
      </c>
      <c r="I130" t="s">
        <v>174</v>
      </c>
      <c r="J130" t="s">
        <v>553</v>
      </c>
      <c r="K130" t="s">
        <v>495</v>
      </c>
      <c r="L130">
        <v>6160</v>
      </c>
    </row>
    <row r="131" spans="3:12">
      <c r="C131">
        <v>2100300025</v>
      </c>
      <c r="D131">
        <v>4926000</v>
      </c>
      <c r="E131" t="s">
        <v>188</v>
      </c>
      <c r="F131">
        <v>5203010119</v>
      </c>
      <c r="G131">
        <v>1</v>
      </c>
      <c r="I131" t="s">
        <v>174</v>
      </c>
      <c r="J131" t="s">
        <v>555</v>
      </c>
      <c r="K131" t="s">
        <v>495</v>
      </c>
      <c r="L131">
        <v>917</v>
      </c>
    </row>
    <row r="132" spans="3:12">
      <c r="C132">
        <v>2100300025</v>
      </c>
      <c r="D132">
        <v>5326000</v>
      </c>
      <c r="E132" t="s">
        <v>188</v>
      </c>
      <c r="F132">
        <v>5203010119</v>
      </c>
      <c r="G132">
        <v>1</v>
      </c>
      <c r="I132" t="s">
        <v>174</v>
      </c>
      <c r="J132" t="s">
        <v>555</v>
      </c>
      <c r="K132" t="s">
        <v>495</v>
      </c>
      <c r="L132">
        <v>923</v>
      </c>
    </row>
    <row r="133" spans="3:12">
      <c r="C133">
        <v>2100300025</v>
      </c>
      <c r="D133">
        <v>5626000</v>
      </c>
      <c r="E133" t="s">
        <v>188</v>
      </c>
      <c r="F133">
        <v>5203010119</v>
      </c>
      <c r="G133" s="13">
        <v>1575.34</v>
      </c>
      <c r="I133" t="s">
        <v>174</v>
      </c>
      <c r="J133" t="s">
        <v>555</v>
      </c>
      <c r="K133" t="s">
        <v>495</v>
      </c>
      <c r="L133">
        <v>911</v>
      </c>
    </row>
    <row r="134" spans="3:12">
      <c r="C134">
        <v>2100300025</v>
      </c>
      <c r="D134">
        <v>5626000</v>
      </c>
      <c r="E134" t="s">
        <v>188</v>
      </c>
      <c r="F134">
        <v>5203010119</v>
      </c>
      <c r="G134">
        <v>1</v>
      </c>
      <c r="I134" t="s">
        <v>174</v>
      </c>
      <c r="J134" t="s">
        <v>566</v>
      </c>
      <c r="K134" t="s">
        <v>495</v>
      </c>
      <c r="L134">
        <v>6425</v>
      </c>
    </row>
    <row r="135" spans="3:12">
      <c r="C135">
        <v>2100300025</v>
      </c>
      <c r="D135">
        <v>5926000</v>
      </c>
      <c r="E135" t="s">
        <v>188</v>
      </c>
      <c r="F135">
        <v>5203010119</v>
      </c>
      <c r="G135">
        <v>1</v>
      </c>
      <c r="I135" t="s">
        <v>174</v>
      </c>
      <c r="J135" t="s">
        <v>553</v>
      </c>
      <c r="K135" t="s">
        <v>495</v>
      </c>
      <c r="L135">
        <v>6159</v>
      </c>
    </row>
    <row r="136" spans="3:12">
      <c r="C136">
        <v>2100300025</v>
      </c>
      <c r="D136">
        <v>5926000</v>
      </c>
      <c r="E136" t="s">
        <v>188</v>
      </c>
      <c r="F136">
        <v>5203010119</v>
      </c>
      <c r="G136">
        <v>17.32</v>
      </c>
      <c r="I136" t="s">
        <v>174</v>
      </c>
      <c r="J136" t="s">
        <v>553</v>
      </c>
      <c r="K136" t="s">
        <v>495</v>
      </c>
      <c r="L136">
        <v>6192</v>
      </c>
    </row>
    <row r="137" spans="3:12">
      <c r="C137">
        <v>2100300025</v>
      </c>
      <c r="D137">
        <v>6031000</v>
      </c>
      <c r="E137" t="s">
        <v>188</v>
      </c>
      <c r="F137">
        <v>5203010119</v>
      </c>
      <c r="G137" s="13">
        <v>4482.1899999999996</v>
      </c>
      <c r="I137" t="s">
        <v>174</v>
      </c>
      <c r="J137" t="s">
        <v>567</v>
      </c>
      <c r="K137" t="s">
        <v>495</v>
      </c>
      <c r="L137">
        <v>965</v>
      </c>
    </row>
    <row r="138" spans="3:12">
      <c r="C138">
        <v>2100300025</v>
      </c>
      <c r="D138">
        <v>6026000</v>
      </c>
      <c r="E138" t="s">
        <v>188</v>
      </c>
      <c r="F138">
        <v>5203010119</v>
      </c>
      <c r="G138">
        <v>860.27</v>
      </c>
      <c r="I138" t="s">
        <v>174</v>
      </c>
      <c r="J138" t="s">
        <v>553</v>
      </c>
      <c r="K138" t="s">
        <v>495</v>
      </c>
      <c r="L138">
        <v>6165</v>
      </c>
    </row>
    <row r="139" spans="3:12">
      <c r="C139">
        <v>2100300025</v>
      </c>
      <c r="D139">
        <v>6131000</v>
      </c>
      <c r="E139" t="s">
        <v>188</v>
      </c>
      <c r="F139">
        <v>5203010119</v>
      </c>
      <c r="G139">
        <v>1</v>
      </c>
      <c r="I139" t="s">
        <v>174</v>
      </c>
      <c r="J139" t="s">
        <v>553</v>
      </c>
      <c r="K139" t="s">
        <v>495</v>
      </c>
      <c r="L139">
        <v>6168</v>
      </c>
    </row>
    <row r="140" spans="3:12">
      <c r="C140">
        <v>2100300025</v>
      </c>
      <c r="D140">
        <v>6131000</v>
      </c>
      <c r="E140" t="s">
        <v>188</v>
      </c>
      <c r="F140">
        <v>5203010119</v>
      </c>
      <c r="G140">
        <v>1</v>
      </c>
      <c r="I140" t="s">
        <v>174</v>
      </c>
      <c r="J140" t="s">
        <v>558</v>
      </c>
      <c r="K140" t="s">
        <v>495</v>
      </c>
      <c r="L140">
        <v>6435</v>
      </c>
    </row>
    <row r="141" spans="3:12">
      <c r="C141">
        <v>2100300025</v>
      </c>
      <c r="D141">
        <v>6131000</v>
      </c>
      <c r="E141" t="s">
        <v>188</v>
      </c>
      <c r="F141">
        <v>5203010119</v>
      </c>
      <c r="G141">
        <v>1</v>
      </c>
      <c r="I141" t="s">
        <v>174</v>
      </c>
      <c r="J141" t="s">
        <v>558</v>
      </c>
      <c r="K141" t="s">
        <v>495</v>
      </c>
      <c r="L141">
        <v>6436</v>
      </c>
    </row>
    <row r="142" spans="3:12">
      <c r="C142">
        <v>2100300025</v>
      </c>
      <c r="D142">
        <v>5026000</v>
      </c>
      <c r="E142" t="s">
        <v>188</v>
      </c>
      <c r="F142">
        <v>5203010120</v>
      </c>
      <c r="G142">
        <v>1</v>
      </c>
      <c r="I142" t="s">
        <v>174</v>
      </c>
      <c r="J142" t="s">
        <v>553</v>
      </c>
      <c r="K142" t="s">
        <v>568</v>
      </c>
      <c r="L142">
        <v>6145</v>
      </c>
    </row>
    <row r="143" spans="3:12">
      <c r="C143">
        <v>2100300025</v>
      </c>
      <c r="D143">
        <v>5026000</v>
      </c>
      <c r="E143" t="s">
        <v>188</v>
      </c>
      <c r="F143">
        <v>5203010120</v>
      </c>
      <c r="G143">
        <v>1</v>
      </c>
      <c r="I143" t="s">
        <v>174</v>
      </c>
      <c r="J143" t="s">
        <v>553</v>
      </c>
      <c r="K143" t="s">
        <v>568</v>
      </c>
      <c r="L143">
        <v>6178</v>
      </c>
    </row>
    <row r="144" spans="3:12">
      <c r="C144">
        <v>2100300025</v>
      </c>
      <c r="D144">
        <v>5326000</v>
      </c>
      <c r="E144" t="s">
        <v>188</v>
      </c>
      <c r="F144">
        <v>5203010120</v>
      </c>
      <c r="G144">
        <v>1</v>
      </c>
      <c r="I144" t="s">
        <v>174</v>
      </c>
      <c r="J144" t="s">
        <v>553</v>
      </c>
      <c r="K144" t="s">
        <v>568</v>
      </c>
      <c r="L144">
        <v>6146</v>
      </c>
    </row>
    <row r="145" spans="3:12">
      <c r="C145">
        <v>2100300025</v>
      </c>
      <c r="D145">
        <v>5626000</v>
      </c>
      <c r="E145" t="s">
        <v>188</v>
      </c>
      <c r="F145">
        <v>5203010120</v>
      </c>
      <c r="G145">
        <v>1</v>
      </c>
      <c r="I145" t="s">
        <v>174</v>
      </c>
      <c r="J145" t="s">
        <v>553</v>
      </c>
      <c r="K145" t="s">
        <v>568</v>
      </c>
      <c r="L145">
        <v>6180</v>
      </c>
    </row>
    <row r="146" spans="3:12">
      <c r="C146">
        <v>2100300025</v>
      </c>
      <c r="D146">
        <v>5931000</v>
      </c>
      <c r="E146" t="s">
        <v>188</v>
      </c>
      <c r="F146">
        <v>5203010120</v>
      </c>
      <c r="G146">
        <v>1</v>
      </c>
      <c r="I146" t="s">
        <v>174</v>
      </c>
      <c r="J146" t="s">
        <v>553</v>
      </c>
      <c r="K146" t="s">
        <v>568</v>
      </c>
      <c r="L146">
        <v>6144</v>
      </c>
    </row>
    <row r="147" spans="3:12">
      <c r="C147">
        <v>2100300025</v>
      </c>
      <c r="D147">
        <v>5931000</v>
      </c>
      <c r="E147" t="s">
        <v>188</v>
      </c>
      <c r="F147">
        <v>5203010120</v>
      </c>
      <c r="G147">
        <v>1</v>
      </c>
      <c r="I147" t="s">
        <v>174</v>
      </c>
      <c r="J147" t="s">
        <v>553</v>
      </c>
      <c r="K147" t="s">
        <v>568</v>
      </c>
      <c r="L147">
        <v>6153</v>
      </c>
    </row>
    <row r="148" spans="3:12">
      <c r="C148">
        <v>2100300025</v>
      </c>
      <c r="D148">
        <v>5931000</v>
      </c>
      <c r="E148" t="s">
        <v>188</v>
      </c>
      <c r="F148">
        <v>5203010120</v>
      </c>
      <c r="G148">
        <v>1</v>
      </c>
      <c r="I148" t="s">
        <v>174</v>
      </c>
      <c r="J148" t="s">
        <v>553</v>
      </c>
      <c r="K148" t="s">
        <v>568</v>
      </c>
      <c r="L148">
        <v>6177</v>
      </c>
    </row>
    <row r="149" spans="3:12">
      <c r="C149">
        <v>2100300025</v>
      </c>
      <c r="D149">
        <v>5931000</v>
      </c>
      <c r="E149" t="s">
        <v>188</v>
      </c>
      <c r="F149">
        <v>5203010120</v>
      </c>
      <c r="G149">
        <v>1</v>
      </c>
      <c r="I149" t="s">
        <v>174</v>
      </c>
      <c r="J149" t="s">
        <v>553</v>
      </c>
      <c r="K149" t="s">
        <v>568</v>
      </c>
      <c r="L149">
        <v>6179</v>
      </c>
    </row>
    <row r="150" spans="3:12">
      <c r="C150">
        <v>2100300025</v>
      </c>
      <c r="D150">
        <v>5911310</v>
      </c>
      <c r="E150" t="s">
        <v>197</v>
      </c>
      <c r="F150">
        <v>5203010120</v>
      </c>
      <c r="G150">
        <v>1</v>
      </c>
      <c r="I150" t="s">
        <v>174</v>
      </c>
      <c r="J150" t="s">
        <v>553</v>
      </c>
      <c r="K150" t="s">
        <v>568</v>
      </c>
      <c r="L150">
        <v>6154</v>
      </c>
    </row>
    <row r="151" spans="3:12">
      <c r="C151">
        <v>2100300025</v>
      </c>
      <c r="D151">
        <v>6026000</v>
      </c>
      <c r="E151" t="s">
        <v>188</v>
      </c>
      <c r="F151">
        <v>5203010120</v>
      </c>
      <c r="G151">
        <v>1</v>
      </c>
      <c r="I151" t="s">
        <v>174</v>
      </c>
      <c r="J151" t="s">
        <v>553</v>
      </c>
      <c r="K151" t="s">
        <v>568</v>
      </c>
      <c r="L151">
        <v>6143</v>
      </c>
    </row>
    <row r="152" spans="3:12">
      <c r="C152">
        <v>2100300025</v>
      </c>
      <c r="D152">
        <v>4731000</v>
      </c>
      <c r="E152" t="s">
        <v>188</v>
      </c>
      <c r="F152">
        <v>5203010122</v>
      </c>
      <c r="G152">
        <v>1</v>
      </c>
      <c r="I152" t="s">
        <v>174</v>
      </c>
      <c r="J152" t="s">
        <v>553</v>
      </c>
      <c r="K152" t="s">
        <v>560</v>
      </c>
      <c r="L152">
        <v>6174</v>
      </c>
    </row>
    <row r="153" spans="3:12">
      <c r="C153">
        <v>2100300025</v>
      </c>
      <c r="D153">
        <v>5026000</v>
      </c>
      <c r="E153" t="s">
        <v>188</v>
      </c>
      <c r="F153">
        <v>5203010122</v>
      </c>
      <c r="G153">
        <v>1</v>
      </c>
      <c r="I153" t="s">
        <v>174</v>
      </c>
      <c r="J153" t="s">
        <v>553</v>
      </c>
      <c r="K153" t="s">
        <v>560</v>
      </c>
      <c r="L153">
        <v>6188</v>
      </c>
    </row>
    <row r="154" spans="3:12">
      <c r="C154">
        <v>2100300025</v>
      </c>
      <c r="D154">
        <v>5826000</v>
      </c>
      <c r="E154" t="s">
        <v>188</v>
      </c>
      <c r="F154">
        <v>5203010122</v>
      </c>
      <c r="G154">
        <v>1</v>
      </c>
      <c r="I154" t="s">
        <v>174</v>
      </c>
      <c r="J154" t="s">
        <v>555</v>
      </c>
      <c r="K154" t="s">
        <v>560</v>
      </c>
      <c r="L154">
        <v>927</v>
      </c>
    </row>
    <row r="155" spans="3:12">
      <c r="C155">
        <v>2100300025</v>
      </c>
      <c r="D155">
        <v>6131000</v>
      </c>
      <c r="E155" t="s">
        <v>188</v>
      </c>
      <c r="F155">
        <v>5203010123</v>
      </c>
      <c r="G155">
        <v>1</v>
      </c>
      <c r="I155" t="s">
        <v>174</v>
      </c>
      <c r="J155" t="s">
        <v>553</v>
      </c>
      <c r="K155" t="s">
        <v>569</v>
      </c>
      <c r="L155">
        <v>6193</v>
      </c>
    </row>
    <row r="156" spans="3:12">
      <c r="C156">
        <v>2100300025</v>
      </c>
      <c r="D156">
        <v>5926000</v>
      </c>
      <c r="E156" t="s">
        <v>188</v>
      </c>
      <c r="F156">
        <v>5203010133</v>
      </c>
      <c r="G156">
        <v>1</v>
      </c>
      <c r="I156" t="s">
        <v>174</v>
      </c>
      <c r="J156" t="s">
        <v>553</v>
      </c>
      <c r="K156" t="s">
        <v>570</v>
      </c>
      <c r="L156">
        <v>6181</v>
      </c>
    </row>
    <row r="157" spans="3:12">
      <c r="C157">
        <v>2100300025</v>
      </c>
      <c r="D157">
        <v>5826000</v>
      </c>
      <c r="E157" t="s">
        <v>188</v>
      </c>
      <c r="F157">
        <v>5203010119</v>
      </c>
      <c r="G157" s="13">
        <v>3069.42</v>
      </c>
      <c r="I157" t="s">
        <v>174</v>
      </c>
      <c r="J157" t="s">
        <v>555</v>
      </c>
      <c r="K157" t="s">
        <v>495</v>
      </c>
      <c r="L157">
        <v>922</v>
      </c>
    </row>
    <row r="158" spans="3:12">
      <c r="C158">
        <v>2100300025</v>
      </c>
      <c r="D158">
        <v>6131000</v>
      </c>
      <c r="E158" t="s">
        <v>188</v>
      </c>
      <c r="F158">
        <v>5203010119</v>
      </c>
      <c r="G158">
        <v>1</v>
      </c>
      <c r="I158" t="s">
        <v>174</v>
      </c>
      <c r="J158" t="s">
        <v>555</v>
      </c>
      <c r="K158" t="s">
        <v>495</v>
      </c>
      <c r="L158">
        <v>924</v>
      </c>
    </row>
    <row r="159" spans="3:12">
      <c r="C159">
        <v>2100300025</v>
      </c>
      <c r="D159">
        <v>6131000</v>
      </c>
      <c r="E159" t="s">
        <v>188</v>
      </c>
      <c r="F159">
        <v>5203010119</v>
      </c>
      <c r="G159">
        <v>1</v>
      </c>
      <c r="I159" t="s">
        <v>174</v>
      </c>
      <c r="J159" t="s">
        <v>555</v>
      </c>
      <c r="K159" t="s">
        <v>495</v>
      </c>
      <c r="L159">
        <v>925</v>
      </c>
    </row>
    <row r="160" spans="3:12">
      <c r="C160">
        <v>2100300025</v>
      </c>
      <c r="D160">
        <v>6131000</v>
      </c>
      <c r="E160" t="s">
        <v>188</v>
      </c>
      <c r="F160">
        <v>5203010119</v>
      </c>
      <c r="G160">
        <v>1</v>
      </c>
      <c r="I160" t="s">
        <v>174</v>
      </c>
      <c r="J160" t="s">
        <v>555</v>
      </c>
      <c r="K160" t="s">
        <v>495</v>
      </c>
      <c r="L160">
        <v>926</v>
      </c>
    </row>
    <row r="161" spans="3:13">
      <c r="C161">
        <v>2100300025</v>
      </c>
      <c r="D161">
        <v>6131000</v>
      </c>
      <c r="E161" t="s">
        <v>188</v>
      </c>
      <c r="F161">
        <v>5203010119</v>
      </c>
      <c r="G161">
        <v>1</v>
      </c>
      <c r="I161" t="s">
        <v>174</v>
      </c>
      <c r="J161" t="s">
        <v>553</v>
      </c>
      <c r="K161" t="s">
        <v>495</v>
      </c>
      <c r="L161">
        <v>6196</v>
      </c>
    </row>
    <row r="162" spans="3:13">
      <c r="C162">
        <v>2100300025</v>
      </c>
      <c r="D162">
        <v>4826000</v>
      </c>
      <c r="E162" t="s">
        <v>188</v>
      </c>
      <c r="F162">
        <v>5203010122</v>
      </c>
      <c r="G162">
        <v>1</v>
      </c>
      <c r="I162" t="s">
        <v>174</v>
      </c>
      <c r="J162" t="s">
        <v>553</v>
      </c>
      <c r="K162" t="s">
        <v>560</v>
      </c>
      <c r="L162">
        <v>6197</v>
      </c>
    </row>
    <row r="163" spans="3:13">
      <c r="C163">
        <v>2100300025</v>
      </c>
      <c r="D163">
        <v>6131000</v>
      </c>
      <c r="E163" t="s">
        <v>188</v>
      </c>
      <c r="F163">
        <v>5203010119</v>
      </c>
      <c r="G163">
        <v>1</v>
      </c>
      <c r="I163" t="s">
        <v>174</v>
      </c>
      <c r="J163" t="s">
        <v>558</v>
      </c>
      <c r="K163" t="s">
        <v>495</v>
      </c>
      <c r="L163">
        <v>6432</v>
      </c>
    </row>
    <row r="164" spans="3:13">
      <c r="C164">
        <v>2100300025</v>
      </c>
      <c r="D164">
        <v>6131000</v>
      </c>
      <c r="E164" t="s">
        <v>188</v>
      </c>
      <c r="F164">
        <v>5203010119</v>
      </c>
      <c r="G164">
        <v>1</v>
      </c>
      <c r="I164" t="s">
        <v>174</v>
      </c>
      <c r="J164" t="s">
        <v>558</v>
      </c>
      <c r="K164" t="s">
        <v>495</v>
      </c>
      <c r="L164">
        <v>6434</v>
      </c>
    </row>
    <row r="165" spans="3:13">
      <c r="C165">
        <v>2100300025</v>
      </c>
      <c r="D165">
        <v>6131000</v>
      </c>
      <c r="E165" t="s">
        <v>188</v>
      </c>
      <c r="F165">
        <v>5203010120</v>
      </c>
      <c r="G165">
        <v>1</v>
      </c>
      <c r="I165" t="s">
        <v>174</v>
      </c>
      <c r="J165" t="s">
        <v>553</v>
      </c>
      <c r="K165" t="s">
        <v>568</v>
      </c>
      <c r="L165">
        <v>6184</v>
      </c>
    </row>
    <row r="166" spans="3:13">
      <c r="C166">
        <v>2100300025</v>
      </c>
      <c r="D166">
        <v>5926000</v>
      </c>
      <c r="E166" t="s">
        <v>188</v>
      </c>
      <c r="F166">
        <v>5203010133</v>
      </c>
      <c r="G166">
        <v>1</v>
      </c>
      <c r="I166" t="s">
        <v>174</v>
      </c>
      <c r="J166" t="s">
        <v>553</v>
      </c>
      <c r="K166" t="s">
        <v>570</v>
      </c>
      <c r="L166">
        <v>6182</v>
      </c>
    </row>
    <row r="167" spans="3:13">
      <c r="C167">
        <v>2100300025</v>
      </c>
      <c r="D167">
        <v>6026000</v>
      </c>
      <c r="E167" t="s">
        <v>188</v>
      </c>
      <c r="F167">
        <v>5203010133</v>
      </c>
      <c r="G167">
        <v>1</v>
      </c>
      <c r="I167" t="s">
        <v>174</v>
      </c>
      <c r="J167" t="s">
        <v>553</v>
      </c>
      <c r="K167" t="s">
        <v>570</v>
      </c>
      <c r="L167">
        <v>6183</v>
      </c>
    </row>
    <row r="168" spans="3:13">
      <c r="C168">
        <v>2100300025</v>
      </c>
      <c r="D168">
        <v>4731000</v>
      </c>
      <c r="E168" t="s">
        <v>188</v>
      </c>
      <c r="F168">
        <v>5203010122</v>
      </c>
      <c r="G168">
        <v>1</v>
      </c>
      <c r="I168" t="s">
        <v>174</v>
      </c>
      <c r="J168" t="s">
        <v>555</v>
      </c>
      <c r="K168" t="s">
        <v>560</v>
      </c>
      <c r="L168">
        <v>929</v>
      </c>
    </row>
    <row r="169" spans="3:13">
      <c r="C169">
        <v>2100300025</v>
      </c>
      <c r="D169">
        <v>5026000</v>
      </c>
      <c r="E169" t="s">
        <v>188</v>
      </c>
      <c r="F169">
        <v>5203010122</v>
      </c>
      <c r="G169">
        <v>1</v>
      </c>
      <c r="I169" t="s">
        <v>174</v>
      </c>
      <c r="J169" t="s">
        <v>555</v>
      </c>
      <c r="K169" t="s">
        <v>560</v>
      </c>
      <c r="L169">
        <v>928</v>
      </c>
    </row>
    <row r="170" spans="3:13">
      <c r="C170">
        <v>2100300025</v>
      </c>
      <c r="D170">
        <v>5831000</v>
      </c>
      <c r="E170" t="s">
        <v>188</v>
      </c>
      <c r="F170">
        <v>5105010101</v>
      </c>
      <c r="G170" s="13">
        <v>49176.39</v>
      </c>
      <c r="I170" t="s">
        <v>160</v>
      </c>
      <c r="J170" t="s">
        <v>571</v>
      </c>
      <c r="K170" t="s">
        <v>161</v>
      </c>
      <c r="L170">
        <v>5500000002</v>
      </c>
      <c r="M170" t="s">
        <v>572</v>
      </c>
    </row>
    <row r="171" spans="3:13">
      <c r="C171">
        <v>2100300025</v>
      </c>
      <c r="D171">
        <v>5831000</v>
      </c>
      <c r="E171" t="s">
        <v>188</v>
      </c>
      <c r="F171">
        <v>5105010101</v>
      </c>
      <c r="G171" s="13">
        <v>24991.27</v>
      </c>
      <c r="I171" t="s">
        <v>160</v>
      </c>
      <c r="J171" t="s">
        <v>573</v>
      </c>
      <c r="K171" t="s">
        <v>161</v>
      </c>
      <c r="L171">
        <v>5500000075</v>
      </c>
      <c r="M171" t="s">
        <v>574</v>
      </c>
    </row>
    <row r="172" spans="3:13">
      <c r="C172">
        <v>2100300025</v>
      </c>
      <c r="D172">
        <v>5831000</v>
      </c>
      <c r="E172" t="s">
        <v>188</v>
      </c>
      <c r="F172">
        <v>5105010101</v>
      </c>
      <c r="G172" s="13">
        <v>24991.279999999999</v>
      </c>
      <c r="I172" t="s">
        <v>160</v>
      </c>
      <c r="J172" t="s">
        <v>575</v>
      </c>
      <c r="K172" t="s">
        <v>161</v>
      </c>
      <c r="L172">
        <v>5500000148</v>
      </c>
      <c r="M172" t="s">
        <v>576</v>
      </c>
    </row>
    <row r="173" spans="3:13">
      <c r="C173">
        <v>2100300025</v>
      </c>
      <c r="D173">
        <v>5831000</v>
      </c>
      <c r="E173" t="s">
        <v>188</v>
      </c>
      <c r="F173">
        <v>5105010101</v>
      </c>
      <c r="G173" s="13">
        <v>22572.78</v>
      </c>
      <c r="I173" t="s">
        <v>160</v>
      </c>
      <c r="J173" t="s">
        <v>577</v>
      </c>
      <c r="K173" t="s">
        <v>161</v>
      </c>
      <c r="L173">
        <v>5500000223</v>
      </c>
      <c r="M173" t="s">
        <v>578</v>
      </c>
    </row>
    <row r="174" spans="3:13">
      <c r="C174">
        <v>2100300025</v>
      </c>
      <c r="D174">
        <v>5831000</v>
      </c>
      <c r="E174" t="s">
        <v>188</v>
      </c>
      <c r="F174">
        <v>5105010101</v>
      </c>
      <c r="G174" s="13">
        <v>24991.27</v>
      </c>
      <c r="I174" t="s">
        <v>160</v>
      </c>
      <c r="J174" t="s">
        <v>579</v>
      </c>
      <c r="K174" t="s">
        <v>161</v>
      </c>
      <c r="L174">
        <v>5500000298</v>
      </c>
      <c r="M174" t="s">
        <v>580</v>
      </c>
    </row>
    <row r="175" spans="3:13">
      <c r="C175">
        <v>2100300025</v>
      </c>
      <c r="D175">
        <v>5831000</v>
      </c>
      <c r="E175" t="s">
        <v>188</v>
      </c>
      <c r="F175">
        <v>5105010101</v>
      </c>
      <c r="G175" s="13">
        <v>24185.119999999999</v>
      </c>
      <c r="I175" t="s">
        <v>160</v>
      </c>
      <c r="J175" t="s">
        <v>581</v>
      </c>
      <c r="K175" t="s">
        <v>161</v>
      </c>
      <c r="L175">
        <v>5500000373</v>
      </c>
      <c r="M175" t="s">
        <v>582</v>
      </c>
    </row>
    <row r="176" spans="3:13">
      <c r="C176">
        <v>2100300025</v>
      </c>
      <c r="D176">
        <v>5831000</v>
      </c>
      <c r="E176" t="s">
        <v>188</v>
      </c>
      <c r="F176">
        <v>5105010101</v>
      </c>
      <c r="G176" s="13">
        <v>24991.27</v>
      </c>
      <c r="I176" t="s">
        <v>160</v>
      </c>
      <c r="J176" t="s">
        <v>583</v>
      </c>
      <c r="K176" t="s">
        <v>161</v>
      </c>
      <c r="L176">
        <v>5500000449</v>
      </c>
      <c r="M176" t="s">
        <v>584</v>
      </c>
    </row>
    <row r="177" spans="3:13">
      <c r="C177">
        <v>2100300025</v>
      </c>
      <c r="D177">
        <v>5831000</v>
      </c>
      <c r="E177" t="s">
        <v>188</v>
      </c>
      <c r="F177">
        <v>5105010101</v>
      </c>
      <c r="G177" s="13">
        <v>24185.119999999999</v>
      </c>
      <c r="I177" t="s">
        <v>160</v>
      </c>
      <c r="J177" t="s">
        <v>585</v>
      </c>
      <c r="K177" t="s">
        <v>161</v>
      </c>
      <c r="L177">
        <v>5500000526</v>
      </c>
      <c r="M177" t="s">
        <v>586</v>
      </c>
    </row>
    <row r="178" spans="3:13">
      <c r="C178">
        <v>2100300025</v>
      </c>
      <c r="D178">
        <v>5831000</v>
      </c>
      <c r="E178" t="s">
        <v>188</v>
      </c>
      <c r="F178">
        <v>5105010101</v>
      </c>
      <c r="G178" s="13">
        <v>24991.27</v>
      </c>
      <c r="I178" t="s">
        <v>160</v>
      </c>
      <c r="J178" t="s">
        <v>587</v>
      </c>
      <c r="K178" t="s">
        <v>161</v>
      </c>
      <c r="L178">
        <v>5500000603</v>
      </c>
      <c r="M178" t="s">
        <v>588</v>
      </c>
    </row>
    <row r="179" spans="3:13">
      <c r="C179">
        <v>2100300025</v>
      </c>
      <c r="D179">
        <v>5831000</v>
      </c>
      <c r="E179" t="s">
        <v>188</v>
      </c>
      <c r="F179">
        <v>5105010101</v>
      </c>
      <c r="G179" s="13">
        <v>24991.279999999999</v>
      </c>
      <c r="I179" t="s">
        <v>160</v>
      </c>
      <c r="J179" t="s">
        <v>589</v>
      </c>
      <c r="K179" t="s">
        <v>161</v>
      </c>
      <c r="L179">
        <v>5500000680</v>
      </c>
      <c r="M179" t="s">
        <v>590</v>
      </c>
    </row>
    <row r="180" spans="3:13">
      <c r="C180">
        <v>2100300025</v>
      </c>
      <c r="D180">
        <v>5831000</v>
      </c>
      <c r="E180" t="s">
        <v>188</v>
      </c>
      <c r="F180">
        <v>5105010101</v>
      </c>
      <c r="G180" s="13">
        <v>24185.11</v>
      </c>
      <c r="I180" t="s">
        <v>160</v>
      </c>
      <c r="J180" t="s">
        <v>591</v>
      </c>
      <c r="K180" t="s">
        <v>161</v>
      </c>
      <c r="L180">
        <v>5500000757</v>
      </c>
      <c r="M180" t="s">
        <v>592</v>
      </c>
    </row>
    <row r="181" spans="3:13">
      <c r="C181">
        <v>2100300025</v>
      </c>
      <c r="D181">
        <v>6131000</v>
      </c>
      <c r="E181" t="s">
        <v>188</v>
      </c>
      <c r="F181">
        <v>5105010101</v>
      </c>
      <c r="G181" s="13">
        <v>45284.26</v>
      </c>
      <c r="I181" t="s">
        <v>160</v>
      </c>
      <c r="J181" t="s">
        <v>571</v>
      </c>
      <c r="K181" t="s">
        <v>161</v>
      </c>
      <c r="L181">
        <v>5500000002</v>
      </c>
      <c r="M181" t="s">
        <v>572</v>
      </c>
    </row>
    <row r="182" spans="3:13">
      <c r="C182">
        <v>2100300025</v>
      </c>
      <c r="D182">
        <v>6131000</v>
      </c>
      <c r="E182" t="s">
        <v>188</v>
      </c>
      <c r="F182">
        <v>5105010101</v>
      </c>
      <c r="G182" s="13">
        <v>23013.31</v>
      </c>
      <c r="I182" t="s">
        <v>160</v>
      </c>
      <c r="J182" t="s">
        <v>573</v>
      </c>
      <c r="K182" t="s">
        <v>161</v>
      </c>
      <c r="L182">
        <v>5500000075</v>
      </c>
      <c r="M182" t="s">
        <v>574</v>
      </c>
    </row>
    <row r="183" spans="3:13">
      <c r="C183">
        <v>2100300025</v>
      </c>
      <c r="D183">
        <v>6131000</v>
      </c>
      <c r="E183" t="s">
        <v>188</v>
      </c>
      <c r="F183">
        <v>5105010101</v>
      </c>
      <c r="G183" s="13">
        <v>23013.31</v>
      </c>
      <c r="I183" t="s">
        <v>160</v>
      </c>
      <c r="J183" t="s">
        <v>575</v>
      </c>
      <c r="K183" t="s">
        <v>161</v>
      </c>
      <c r="L183">
        <v>5500000148</v>
      </c>
      <c r="M183" t="s">
        <v>576</v>
      </c>
    </row>
    <row r="184" spans="3:13">
      <c r="C184">
        <v>2100300025</v>
      </c>
      <c r="D184">
        <v>6131000</v>
      </c>
      <c r="E184" t="s">
        <v>188</v>
      </c>
      <c r="F184">
        <v>5105010101</v>
      </c>
      <c r="G184" s="13">
        <v>20786.22</v>
      </c>
      <c r="I184" t="s">
        <v>160</v>
      </c>
      <c r="J184" t="s">
        <v>577</v>
      </c>
      <c r="K184" t="s">
        <v>161</v>
      </c>
      <c r="L184">
        <v>5500000223</v>
      </c>
      <c r="M184" t="s">
        <v>578</v>
      </c>
    </row>
    <row r="185" spans="3:13">
      <c r="C185">
        <v>2100300025</v>
      </c>
      <c r="D185">
        <v>6131000</v>
      </c>
      <c r="E185" t="s">
        <v>188</v>
      </c>
      <c r="F185">
        <v>5105010101</v>
      </c>
      <c r="G185" s="13">
        <v>23013.31</v>
      </c>
      <c r="I185" t="s">
        <v>160</v>
      </c>
      <c r="J185" t="s">
        <v>579</v>
      </c>
      <c r="K185" t="s">
        <v>161</v>
      </c>
      <c r="L185">
        <v>5500000298</v>
      </c>
      <c r="M185" t="s">
        <v>580</v>
      </c>
    </row>
    <row r="186" spans="3:13">
      <c r="C186">
        <v>2100300025</v>
      </c>
      <c r="D186">
        <v>6131000</v>
      </c>
      <c r="E186" t="s">
        <v>188</v>
      </c>
      <c r="F186">
        <v>5105010101</v>
      </c>
      <c r="G186" s="13">
        <v>22270.95</v>
      </c>
      <c r="I186" t="s">
        <v>160</v>
      </c>
      <c r="J186" t="s">
        <v>581</v>
      </c>
      <c r="K186" t="s">
        <v>161</v>
      </c>
      <c r="L186">
        <v>5500000373</v>
      </c>
      <c r="M186" t="s">
        <v>582</v>
      </c>
    </row>
    <row r="187" spans="3:13">
      <c r="C187">
        <v>2100300025</v>
      </c>
      <c r="D187">
        <v>6131000</v>
      </c>
      <c r="E187" t="s">
        <v>188</v>
      </c>
      <c r="F187">
        <v>5105010101</v>
      </c>
      <c r="G187" s="13">
        <v>23013.31</v>
      </c>
      <c r="I187" t="s">
        <v>160</v>
      </c>
      <c r="J187" t="s">
        <v>583</v>
      </c>
      <c r="K187" t="s">
        <v>161</v>
      </c>
      <c r="L187">
        <v>5500000449</v>
      </c>
      <c r="M187" t="s">
        <v>584</v>
      </c>
    </row>
    <row r="188" spans="3:13">
      <c r="C188">
        <v>2100300025</v>
      </c>
      <c r="D188">
        <v>6131000</v>
      </c>
      <c r="E188" t="s">
        <v>188</v>
      </c>
      <c r="F188">
        <v>5105010101</v>
      </c>
      <c r="G188" s="13">
        <v>22270.95</v>
      </c>
      <c r="I188" t="s">
        <v>160</v>
      </c>
      <c r="J188" t="s">
        <v>585</v>
      </c>
      <c r="K188" t="s">
        <v>161</v>
      </c>
      <c r="L188">
        <v>5500000526</v>
      </c>
      <c r="M188" t="s">
        <v>586</v>
      </c>
    </row>
    <row r="189" spans="3:13">
      <c r="C189">
        <v>2100300025</v>
      </c>
      <c r="D189">
        <v>6131000</v>
      </c>
      <c r="E189" t="s">
        <v>188</v>
      </c>
      <c r="F189">
        <v>5105010101</v>
      </c>
      <c r="G189" s="13">
        <v>23013.31</v>
      </c>
      <c r="I189" t="s">
        <v>160</v>
      </c>
      <c r="J189" t="s">
        <v>587</v>
      </c>
      <c r="K189" t="s">
        <v>161</v>
      </c>
      <c r="L189">
        <v>5500000603</v>
      </c>
      <c r="M189" t="s">
        <v>588</v>
      </c>
    </row>
    <row r="190" spans="3:13">
      <c r="C190">
        <v>2100300025</v>
      </c>
      <c r="D190">
        <v>6131000</v>
      </c>
      <c r="E190" t="s">
        <v>188</v>
      </c>
      <c r="F190">
        <v>5105010101</v>
      </c>
      <c r="G190" s="13">
        <v>23013.31</v>
      </c>
      <c r="I190" t="s">
        <v>160</v>
      </c>
      <c r="J190" t="s">
        <v>589</v>
      </c>
      <c r="K190" t="s">
        <v>161</v>
      </c>
      <c r="L190">
        <v>5500000680</v>
      </c>
      <c r="M190" t="s">
        <v>590</v>
      </c>
    </row>
    <row r="191" spans="3:13">
      <c r="C191">
        <v>2100300025</v>
      </c>
      <c r="D191">
        <v>6131000</v>
      </c>
      <c r="E191" t="s">
        <v>188</v>
      </c>
      <c r="F191">
        <v>5105010101</v>
      </c>
      <c r="G191" s="13">
        <v>22270.95</v>
      </c>
      <c r="I191" t="s">
        <v>160</v>
      </c>
      <c r="J191" t="s">
        <v>591</v>
      </c>
      <c r="K191" t="s">
        <v>161</v>
      </c>
      <c r="L191">
        <v>5500000757</v>
      </c>
      <c r="M191" t="s">
        <v>592</v>
      </c>
    </row>
    <row r="192" spans="3:13">
      <c r="C192">
        <v>2100300025</v>
      </c>
      <c r="D192">
        <v>6226000</v>
      </c>
      <c r="E192" t="s">
        <v>188</v>
      </c>
      <c r="F192">
        <v>5105010101</v>
      </c>
      <c r="G192" s="13">
        <v>42745.99</v>
      </c>
      <c r="I192" t="s">
        <v>160</v>
      </c>
      <c r="J192" t="s">
        <v>571</v>
      </c>
      <c r="K192" t="s">
        <v>161</v>
      </c>
      <c r="L192">
        <v>5500000002</v>
      </c>
      <c r="M192" t="s">
        <v>572</v>
      </c>
    </row>
    <row r="193" spans="3:13">
      <c r="C193">
        <v>2100300025</v>
      </c>
      <c r="D193">
        <v>6226000</v>
      </c>
      <c r="E193" t="s">
        <v>188</v>
      </c>
      <c r="F193">
        <v>5105010101</v>
      </c>
      <c r="G193" s="13">
        <v>21723.38</v>
      </c>
      <c r="I193" t="s">
        <v>160</v>
      </c>
      <c r="J193" t="s">
        <v>573</v>
      </c>
      <c r="K193" t="s">
        <v>161</v>
      </c>
      <c r="L193">
        <v>5500000075</v>
      </c>
      <c r="M193" t="s">
        <v>574</v>
      </c>
    </row>
    <row r="194" spans="3:13">
      <c r="C194">
        <v>2100300025</v>
      </c>
      <c r="D194">
        <v>6226000</v>
      </c>
      <c r="E194" t="s">
        <v>188</v>
      </c>
      <c r="F194">
        <v>5105010101</v>
      </c>
      <c r="G194" s="13">
        <v>21723.360000000001</v>
      </c>
      <c r="I194" t="s">
        <v>160</v>
      </c>
      <c r="J194" t="s">
        <v>575</v>
      </c>
      <c r="K194" t="s">
        <v>161</v>
      </c>
      <c r="L194">
        <v>5500000148</v>
      </c>
      <c r="M194" t="s">
        <v>576</v>
      </c>
    </row>
    <row r="195" spans="3:13">
      <c r="C195">
        <v>2100300025</v>
      </c>
      <c r="D195">
        <v>6226000</v>
      </c>
      <c r="E195" t="s">
        <v>188</v>
      </c>
      <c r="F195">
        <v>5105010101</v>
      </c>
      <c r="G195" s="13">
        <v>19621.12</v>
      </c>
      <c r="I195" t="s">
        <v>160</v>
      </c>
      <c r="J195" t="s">
        <v>577</v>
      </c>
      <c r="K195" t="s">
        <v>161</v>
      </c>
      <c r="L195">
        <v>5500000223</v>
      </c>
      <c r="M195" t="s">
        <v>578</v>
      </c>
    </row>
    <row r="196" spans="3:13">
      <c r="C196">
        <v>2100300025</v>
      </c>
      <c r="D196">
        <v>6226000</v>
      </c>
      <c r="E196" t="s">
        <v>188</v>
      </c>
      <c r="F196">
        <v>5105010101</v>
      </c>
      <c r="G196" s="13">
        <v>21723.38</v>
      </c>
      <c r="I196" t="s">
        <v>160</v>
      </c>
      <c r="J196" t="s">
        <v>579</v>
      </c>
      <c r="K196" t="s">
        <v>161</v>
      </c>
      <c r="L196">
        <v>5500000298</v>
      </c>
      <c r="M196" t="s">
        <v>580</v>
      </c>
    </row>
    <row r="197" spans="3:13">
      <c r="C197">
        <v>2100300025</v>
      </c>
      <c r="D197">
        <v>6226000</v>
      </c>
      <c r="E197" t="s">
        <v>188</v>
      </c>
      <c r="F197">
        <v>5105010101</v>
      </c>
      <c r="G197" s="13">
        <v>21022.61</v>
      </c>
      <c r="I197" t="s">
        <v>160</v>
      </c>
      <c r="J197" t="s">
        <v>581</v>
      </c>
      <c r="K197" t="s">
        <v>161</v>
      </c>
      <c r="L197">
        <v>5500000373</v>
      </c>
      <c r="M197" t="s">
        <v>582</v>
      </c>
    </row>
    <row r="198" spans="3:13">
      <c r="C198">
        <v>2100300025</v>
      </c>
      <c r="D198">
        <v>6226000</v>
      </c>
      <c r="E198" t="s">
        <v>188</v>
      </c>
      <c r="F198">
        <v>5105010101</v>
      </c>
      <c r="G198" s="13">
        <v>21723.37</v>
      </c>
      <c r="I198" t="s">
        <v>160</v>
      </c>
      <c r="J198" t="s">
        <v>583</v>
      </c>
      <c r="K198" t="s">
        <v>161</v>
      </c>
      <c r="L198">
        <v>5500000449</v>
      </c>
      <c r="M198" t="s">
        <v>584</v>
      </c>
    </row>
    <row r="199" spans="3:13">
      <c r="C199">
        <v>2100300025</v>
      </c>
      <c r="D199">
        <v>6226000</v>
      </c>
      <c r="E199" t="s">
        <v>188</v>
      </c>
      <c r="F199">
        <v>5105010101</v>
      </c>
      <c r="G199" s="13">
        <v>21022.62</v>
      </c>
      <c r="I199" t="s">
        <v>160</v>
      </c>
      <c r="J199" t="s">
        <v>585</v>
      </c>
      <c r="K199" t="s">
        <v>161</v>
      </c>
      <c r="L199">
        <v>5500000526</v>
      </c>
      <c r="M199" t="s">
        <v>586</v>
      </c>
    </row>
    <row r="200" spans="3:13">
      <c r="C200">
        <v>2100300025</v>
      </c>
      <c r="D200">
        <v>6226000</v>
      </c>
      <c r="E200" t="s">
        <v>188</v>
      </c>
      <c r="F200">
        <v>5105010101</v>
      </c>
      <c r="G200" s="13">
        <v>21723.38</v>
      </c>
      <c r="I200" t="s">
        <v>160</v>
      </c>
      <c r="J200" t="s">
        <v>587</v>
      </c>
      <c r="K200" t="s">
        <v>161</v>
      </c>
      <c r="L200">
        <v>5500000603</v>
      </c>
      <c r="M200" t="s">
        <v>588</v>
      </c>
    </row>
    <row r="201" spans="3:13">
      <c r="C201">
        <v>2100300025</v>
      </c>
      <c r="D201">
        <v>6226000</v>
      </c>
      <c r="E201" t="s">
        <v>188</v>
      </c>
      <c r="F201">
        <v>5105010101</v>
      </c>
      <c r="G201" s="13">
        <v>21723.38</v>
      </c>
      <c r="I201" t="s">
        <v>160</v>
      </c>
      <c r="J201" t="s">
        <v>589</v>
      </c>
      <c r="K201" t="s">
        <v>161</v>
      </c>
      <c r="L201">
        <v>5500000680</v>
      </c>
      <c r="M201" t="s">
        <v>590</v>
      </c>
    </row>
    <row r="202" spans="3:13">
      <c r="C202">
        <v>2100300025</v>
      </c>
      <c r="D202">
        <v>6226000</v>
      </c>
      <c r="E202" t="s">
        <v>188</v>
      </c>
      <c r="F202">
        <v>5105010101</v>
      </c>
      <c r="G202" s="13">
        <v>21022.61</v>
      </c>
      <c r="I202" t="s">
        <v>160</v>
      </c>
      <c r="J202" t="s">
        <v>591</v>
      </c>
      <c r="K202" t="s">
        <v>161</v>
      </c>
      <c r="L202">
        <v>5500000757</v>
      </c>
      <c r="M202" t="s">
        <v>592</v>
      </c>
    </row>
    <row r="203" spans="3:13">
      <c r="C203">
        <v>2100300025</v>
      </c>
      <c r="D203">
        <v>6110500</v>
      </c>
      <c r="E203">
        <v>90909520000000</v>
      </c>
      <c r="F203">
        <v>5105010101</v>
      </c>
      <c r="G203" s="13">
        <v>17710.03</v>
      </c>
      <c r="I203" t="s">
        <v>160</v>
      </c>
      <c r="J203" t="s">
        <v>571</v>
      </c>
      <c r="K203" t="s">
        <v>161</v>
      </c>
      <c r="L203">
        <v>5500000002</v>
      </c>
      <c r="M203" t="s">
        <v>572</v>
      </c>
    </row>
    <row r="204" spans="3:13">
      <c r="C204">
        <v>2100300025</v>
      </c>
      <c r="D204">
        <v>6110500</v>
      </c>
      <c r="E204">
        <v>90909520000000</v>
      </c>
      <c r="F204">
        <v>5105010101</v>
      </c>
      <c r="G204" s="13">
        <v>9000.18</v>
      </c>
      <c r="I204" t="s">
        <v>160</v>
      </c>
      <c r="J204" t="s">
        <v>573</v>
      </c>
      <c r="K204" t="s">
        <v>161</v>
      </c>
      <c r="L204">
        <v>5500000075</v>
      </c>
      <c r="M204" t="s">
        <v>574</v>
      </c>
    </row>
    <row r="205" spans="3:13">
      <c r="C205">
        <v>2100300025</v>
      </c>
      <c r="D205">
        <v>6110500</v>
      </c>
      <c r="E205">
        <v>90909520000000</v>
      </c>
      <c r="F205">
        <v>5105010101</v>
      </c>
      <c r="G205" s="13">
        <v>9000.18</v>
      </c>
      <c r="I205" t="s">
        <v>160</v>
      </c>
      <c r="J205" t="s">
        <v>575</v>
      </c>
      <c r="K205" t="s">
        <v>161</v>
      </c>
      <c r="L205">
        <v>5500000148</v>
      </c>
      <c r="M205" t="s">
        <v>576</v>
      </c>
    </row>
    <row r="206" spans="3:13">
      <c r="C206">
        <v>2100300025</v>
      </c>
      <c r="D206">
        <v>6110500</v>
      </c>
      <c r="E206">
        <v>90909520000000</v>
      </c>
      <c r="F206">
        <v>5105010101</v>
      </c>
      <c r="G206" s="13">
        <v>8129.19</v>
      </c>
      <c r="I206" t="s">
        <v>160</v>
      </c>
      <c r="J206" t="s">
        <v>577</v>
      </c>
      <c r="K206" t="s">
        <v>161</v>
      </c>
      <c r="L206">
        <v>5500000223</v>
      </c>
      <c r="M206" t="s">
        <v>578</v>
      </c>
    </row>
    <row r="207" spans="3:13">
      <c r="C207">
        <v>2100300025</v>
      </c>
      <c r="D207">
        <v>6110500</v>
      </c>
      <c r="E207">
        <v>90909520000000</v>
      </c>
      <c r="F207">
        <v>5105010101</v>
      </c>
      <c r="G207" s="13">
        <v>9000.19</v>
      </c>
      <c r="I207" t="s">
        <v>160</v>
      </c>
      <c r="J207" t="s">
        <v>579</v>
      </c>
      <c r="K207" t="s">
        <v>161</v>
      </c>
      <c r="L207">
        <v>5500000298</v>
      </c>
      <c r="M207" t="s">
        <v>580</v>
      </c>
    </row>
    <row r="208" spans="3:13">
      <c r="C208">
        <v>2100300025</v>
      </c>
      <c r="D208">
        <v>6110500</v>
      </c>
      <c r="E208">
        <v>90909520000000</v>
      </c>
      <c r="F208">
        <v>5105010101</v>
      </c>
      <c r="G208" s="13">
        <v>8709.85</v>
      </c>
      <c r="I208" t="s">
        <v>160</v>
      </c>
      <c r="J208" t="s">
        <v>581</v>
      </c>
      <c r="K208" t="s">
        <v>161</v>
      </c>
      <c r="L208">
        <v>5500000373</v>
      </c>
      <c r="M208" t="s">
        <v>582</v>
      </c>
    </row>
    <row r="209" spans="3:13">
      <c r="C209">
        <v>2100300025</v>
      </c>
      <c r="D209">
        <v>6110500</v>
      </c>
      <c r="E209">
        <v>90909520000000</v>
      </c>
      <c r="F209">
        <v>5105010101</v>
      </c>
      <c r="G209" s="13">
        <v>9000.19</v>
      </c>
      <c r="I209" t="s">
        <v>160</v>
      </c>
      <c r="J209" t="s">
        <v>583</v>
      </c>
      <c r="K209" t="s">
        <v>161</v>
      </c>
      <c r="L209">
        <v>5500000449</v>
      </c>
      <c r="M209" t="s">
        <v>584</v>
      </c>
    </row>
    <row r="210" spans="3:13">
      <c r="C210">
        <v>2100300025</v>
      </c>
      <c r="D210">
        <v>6110500</v>
      </c>
      <c r="E210">
        <v>90909520000000</v>
      </c>
      <c r="F210">
        <v>5105010101</v>
      </c>
      <c r="G210" s="13">
        <v>8709.84</v>
      </c>
      <c r="I210" t="s">
        <v>160</v>
      </c>
      <c r="J210" t="s">
        <v>585</v>
      </c>
      <c r="K210" t="s">
        <v>161</v>
      </c>
      <c r="L210">
        <v>5500000526</v>
      </c>
      <c r="M210" t="s">
        <v>586</v>
      </c>
    </row>
    <row r="211" spans="3:13">
      <c r="C211">
        <v>2100300025</v>
      </c>
      <c r="D211">
        <v>6110500</v>
      </c>
      <c r="E211">
        <v>90909520000000</v>
      </c>
      <c r="F211">
        <v>5105010101</v>
      </c>
      <c r="G211" s="13">
        <v>9000.18</v>
      </c>
      <c r="I211" t="s">
        <v>160</v>
      </c>
      <c r="J211" t="s">
        <v>587</v>
      </c>
      <c r="K211" t="s">
        <v>161</v>
      </c>
      <c r="L211">
        <v>5500000603</v>
      </c>
      <c r="M211" t="s">
        <v>588</v>
      </c>
    </row>
    <row r="212" spans="3:13">
      <c r="C212">
        <v>2100300025</v>
      </c>
      <c r="D212">
        <v>6110500</v>
      </c>
      <c r="E212">
        <v>90909520000000</v>
      </c>
      <c r="F212">
        <v>5105010101</v>
      </c>
      <c r="G212" s="13">
        <v>9000.18</v>
      </c>
      <c r="I212" t="s">
        <v>160</v>
      </c>
      <c r="J212" t="s">
        <v>589</v>
      </c>
      <c r="K212" t="s">
        <v>161</v>
      </c>
      <c r="L212">
        <v>5500000680</v>
      </c>
      <c r="M212" t="s">
        <v>590</v>
      </c>
    </row>
    <row r="213" spans="3:13">
      <c r="C213">
        <v>2100300025</v>
      </c>
      <c r="D213">
        <v>6110500</v>
      </c>
      <c r="E213">
        <v>90909520000000</v>
      </c>
      <c r="F213">
        <v>5105010101</v>
      </c>
      <c r="G213" s="13">
        <v>8709.85</v>
      </c>
      <c r="I213" t="s">
        <v>160</v>
      </c>
      <c r="J213" t="s">
        <v>591</v>
      </c>
      <c r="K213" t="s">
        <v>161</v>
      </c>
      <c r="L213">
        <v>5500000757</v>
      </c>
      <c r="M213" t="s">
        <v>592</v>
      </c>
    </row>
    <row r="214" spans="3:13">
      <c r="C214">
        <v>2100300025</v>
      </c>
      <c r="D214">
        <v>6326000</v>
      </c>
      <c r="E214" t="s">
        <v>188</v>
      </c>
      <c r="F214">
        <v>5105010101</v>
      </c>
      <c r="G214" s="13">
        <v>10762.84</v>
      </c>
      <c r="I214" t="s">
        <v>160</v>
      </c>
      <c r="J214" t="s">
        <v>571</v>
      </c>
      <c r="K214" t="s">
        <v>161</v>
      </c>
      <c r="L214">
        <v>5500000002</v>
      </c>
      <c r="M214" t="s">
        <v>572</v>
      </c>
    </row>
    <row r="215" spans="3:13">
      <c r="C215">
        <v>2100300025</v>
      </c>
      <c r="D215">
        <v>6326000</v>
      </c>
      <c r="E215" t="s">
        <v>188</v>
      </c>
      <c r="F215">
        <v>5105010101</v>
      </c>
      <c r="G215" s="13">
        <v>5469.64</v>
      </c>
      <c r="I215" t="s">
        <v>160</v>
      </c>
      <c r="J215" t="s">
        <v>573</v>
      </c>
      <c r="K215" t="s">
        <v>161</v>
      </c>
      <c r="L215">
        <v>5500000075</v>
      </c>
      <c r="M215" t="s">
        <v>574</v>
      </c>
    </row>
    <row r="216" spans="3:13">
      <c r="C216">
        <v>2100300025</v>
      </c>
      <c r="D216">
        <v>6326000</v>
      </c>
      <c r="E216" t="s">
        <v>188</v>
      </c>
      <c r="F216">
        <v>5105010101</v>
      </c>
      <c r="G216" s="13">
        <v>5469.64</v>
      </c>
      <c r="I216" t="s">
        <v>160</v>
      </c>
      <c r="J216" t="s">
        <v>575</v>
      </c>
      <c r="K216" t="s">
        <v>161</v>
      </c>
      <c r="L216">
        <v>5500000148</v>
      </c>
      <c r="M216" t="s">
        <v>576</v>
      </c>
    </row>
    <row r="217" spans="3:13">
      <c r="C217">
        <v>2100300025</v>
      </c>
      <c r="D217">
        <v>6326000</v>
      </c>
      <c r="E217" t="s">
        <v>188</v>
      </c>
      <c r="F217">
        <v>5105010101</v>
      </c>
      <c r="G217" s="13">
        <v>4940.32</v>
      </c>
      <c r="I217" t="s">
        <v>160</v>
      </c>
      <c r="J217" t="s">
        <v>577</v>
      </c>
      <c r="K217" t="s">
        <v>161</v>
      </c>
      <c r="L217">
        <v>5500000223</v>
      </c>
      <c r="M217" t="s">
        <v>578</v>
      </c>
    </row>
    <row r="218" spans="3:13">
      <c r="C218">
        <v>2100300025</v>
      </c>
      <c r="D218">
        <v>6326000</v>
      </c>
      <c r="E218" t="s">
        <v>188</v>
      </c>
      <c r="F218">
        <v>5105010101</v>
      </c>
      <c r="G218" s="13">
        <v>5469.64</v>
      </c>
      <c r="I218" t="s">
        <v>160</v>
      </c>
      <c r="J218" t="s">
        <v>579</v>
      </c>
      <c r="K218" t="s">
        <v>161</v>
      </c>
      <c r="L218">
        <v>5500000298</v>
      </c>
      <c r="M218" t="s">
        <v>580</v>
      </c>
    </row>
    <row r="219" spans="3:13">
      <c r="C219">
        <v>2100300025</v>
      </c>
      <c r="D219">
        <v>6326000</v>
      </c>
      <c r="E219" t="s">
        <v>188</v>
      </c>
      <c r="F219">
        <v>5105010101</v>
      </c>
      <c r="G219" s="13">
        <v>5293.2</v>
      </c>
      <c r="I219" t="s">
        <v>160</v>
      </c>
      <c r="J219" t="s">
        <v>581</v>
      </c>
      <c r="K219" t="s">
        <v>161</v>
      </c>
      <c r="L219">
        <v>5500000373</v>
      </c>
      <c r="M219" t="s">
        <v>582</v>
      </c>
    </row>
    <row r="220" spans="3:13">
      <c r="C220">
        <v>2100300025</v>
      </c>
      <c r="D220">
        <v>6326000</v>
      </c>
      <c r="E220" t="s">
        <v>188</v>
      </c>
      <c r="F220">
        <v>5105010101</v>
      </c>
      <c r="G220" s="13">
        <v>5469.64</v>
      </c>
      <c r="I220" t="s">
        <v>160</v>
      </c>
      <c r="J220" t="s">
        <v>583</v>
      </c>
      <c r="K220" t="s">
        <v>161</v>
      </c>
      <c r="L220">
        <v>5500000449</v>
      </c>
      <c r="M220" t="s">
        <v>584</v>
      </c>
    </row>
    <row r="221" spans="3:13">
      <c r="C221">
        <v>2100300025</v>
      </c>
      <c r="D221">
        <v>6326000</v>
      </c>
      <c r="E221" t="s">
        <v>188</v>
      </c>
      <c r="F221">
        <v>5105010101</v>
      </c>
      <c r="G221" s="13">
        <v>5293.2</v>
      </c>
      <c r="I221" t="s">
        <v>160</v>
      </c>
      <c r="J221" t="s">
        <v>585</v>
      </c>
      <c r="K221" t="s">
        <v>161</v>
      </c>
      <c r="L221">
        <v>5500000526</v>
      </c>
      <c r="M221" t="s">
        <v>586</v>
      </c>
    </row>
    <row r="222" spans="3:13">
      <c r="C222">
        <v>2100300025</v>
      </c>
      <c r="D222">
        <v>6326000</v>
      </c>
      <c r="E222" t="s">
        <v>188</v>
      </c>
      <c r="F222">
        <v>5105010101</v>
      </c>
      <c r="G222" s="13">
        <v>5469.64</v>
      </c>
      <c r="I222" t="s">
        <v>160</v>
      </c>
      <c r="J222" t="s">
        <v>587</v>
      </c>
      <c r="K222" t="s">
        <v>161</v>
      </c>
      <c r="L222">
        <v>5500000603</v>
      </c>
      <c r="M222" t="s">
        <v>588</v>
      </c>
    </row>
    <row r="223" spans="3:13">
      <c r="C223">
        <v>2100300025</v>
      </c>
      <c r="D223">
        <v>6326000</v>
      </c>
      <c r="E223" t="s">
        <v>188</v>
      </c>
      <c r="F223">
        <v>5105010101</v>
      </c>
      <c r="G223" s="13">
        <v>5469.64</v>
      </c>
      <c r="I223" t="s">
        <v>160</v>
      </c>
      <c r="J223" t="s">
        <v>589</v>
      </c>
      <c r="K223" t="s">
        <v>161</v>
      </c>
      <c r="L223">
        <v>5500000680</v>
      </c>
      <c r="M223" t="s">
        <v>590</v>
      </c>
    </row>
    <row r="224" spans="3:13">
      <c r="C224">
        <v>2100300025</v>
      </c>
      <c r="D224">
        <v>6326000</v>
      </c>
      <c r="E224" t="s">
        <v>188</v>
      </c>
      <c r="F224">
        <v>5105010101</v>
      </c>
      <c r="G224" s="13">
        <v>5293.2</v>
      </c>
      <c r="I224" t="s">
        <v>160</v>
      </c>
      <c r="J224" t="s">
        <v>591</v>
      </c>
      <c r="K224" t="s">
        <v>161</v>
      </c>
      <c r="L224">
        <v>5500000757</v>
      </c>
      <c r="M224" t="s">
        <v>592</v>
      </c>
    </row>
    <row r="225" spans="3:13">
      <c r="C225">
        <v>2100300025</v>
      </c>
      <c r="D225">
        <v>4731000</v>
      </c>
      <c r="E225" t="s">
        <v>188</v>
      </c>
      <c r="F225">
        <v>5105010103</v>
      </c>
      <c r="G225" s="13">
        <v>1002.28</v>
      </c>
      <c r="I225" t="s">
        <v>160</v>
      </c>
      <c r="J225" t="s">
        <v>571</v>
      </c>
      <c r="K225" t="s">
        <v>162</v>
      </c>
      <c r="L225">
        <v>5500000004</v>
      </c>
      <c r="M225" t="s">
        <v>593</v>
      </c>
    </row>
    <row r="226" spans="3:13">
      <c r="C226">
        <v>2100300025</v>
      </c>
      <c r="D226">
        <v>4731000</v>
      </c>
      <c r="E226" t="s">
        <v>188</v>
      </c>
      <c r="F226">
        <v>5105010103</v>
      </c>
      <c r="G226">
        <v>509.35</v>
      </c>
      <c r="I226" t="s">
        <v>160</v>
      </c>
      <c r="J226" t="s">
        <v>573</v>
      </c>
      <c r="K226" t="s">
        <v>162</v>
      </c>
      <c r="L226">
        <v>5500000077</v>
      </c>
      <c r="M226" t="s">
        <v>594</v>
      </c>
    </row>
    <row r="227" spans="3:13">
      <c r="C227">
        <v>2100300025</v>
      </c>
      <c r="D227">
        <v>4731000</v>
      </c>
      <c r="E227" t="s">
        <v>188</v>
      </c>
      <c r="F227">
        <v>5105010103</v>
      </c>
      <c r="G227">
        <v>509.35</v>
      </c>
      <c r="I227" t="s">
        <v>160</v>
      </c>
      <c r="J227" t="s">
        <v>575</v>
      </c>
      <c r="K227" t="s">
        <v>162</v>
      </c>
      <c r="L227">
        <v>5500000150</v>
      </c>
      <c r="M227" t="s">
        <v>595</v>
      </c>
    </row>
    <row r="228" spans="3:13">
      <c r="C228">
        <v>2100300025</v>
      </c>
      <c r="D228">
        <v>4731000</v>
      </c>
      <c r="E228" t="s">
        <v>188</v>
      </c>
      <c r="F228">
        <v>5105010103</v>
      </c>
      <c r="G228">
        <v>460.06</v>
      </c>
      <c r="I228" t="s">
        <v>160</v>
      </c>
      <c r="J228" t="s">
        <v>577</v>
      </c>
      <c r="K228" t="s">
        <v>162</v>
      </c>
      <c r="L228">
        <v>5500000225</v>
      </c>
      <c r="M228" t="s">
        <v>596</v>
      </c>
    </row>
    <row r="229" spans="3:13">
      <c r="C229">
        <v>2100300025</v>
      </c>
      <c r="D229">
        <v>4731000</v>
      </c>
      <c r="E229" t="s">
        <v>188</v>
      </c>
      <c r="F229">
        <v>5105010103</v>
      </c>
      <c r="G229">
        <v>509.35</v>
      </c>
      <c r="I229" t="s">
        <v>160</v>
      </c>
      <c r="J229" t="s">
        <v>579</v>
      </c>
      <c r="K229" t="s">
        <v>162</v>
      </c>
      <c r="L229">
        <v>5500000300</v>
      </c>
      <c r="M229" t="s">
        <v>597</v>
      </c>
    </row>
    <row r="230" spans="3:13">
      <c r="C230">
        <v>2100300025</v>
      </c>
      <c r="D230">
        <v>4731000</v>
      </c>
      <c r="E230" t="s">
        <v>188</v>
      </c>
      <c r="F230">
        <v>5105010103</v>
      </c>
      <c r="G230">
        <v>492.93</v>
      </c>
      <c r="I230" t="s">
        <v>160</v>
      </c>
      <c r="J230" t="s">
        <v>581</v>
      </c>
      <c r="K230" t="s">
        <v>162</v>
      </c>
      <c r="L230">
        <v>5500000375</v>
      </c>
      <c r="M230" t="s">
        <v>598</v>
      </c>
    </row>
    <row r="231" spans="3:13">
      <c r="C231">
        <v>2100300025</v>
      </c>
      <c r="D231">
        <v>4731000</v>
      </c>
      <c r="E231" t="s">
        <v>188</v>
      </c>
      <c r="F231">
        <v>5105010103</v>
      </c>
      <c r="G231">
        <v>509.35</v>
      </c>
      <c r="I231" t="s">
        <v>160</v>
      </c>
      <c r="J231" t="s">
        <v>583</v>
      </c>
      <c r="K231" t="s">
        <v>162</v>
      </c>
      <c r="L231">
        <v>5500000451</v>
      </c>
      <c r="M231" t="s">
        <v>599</v>
      </c>
    </row>
    <row r="232" spans="3:13">
      <c r="C232">
        <v>2100300025</v>
      </c>
      <c r="D232">
        <v>4731000</v>
      </c>
      <c r="E232" t="s">
        <v>188</v>
      </c>
      <c r="F232">
        <v>5105010103</v>
      </c>
      <c r="G232">
        <v>492.92</v>
      </c>
      <c r="I232" t="s">
        <v>160</v>
      </c>
      <c r="J232" t="s">
        <v>585</v>
      </c>
      <c r="K232" t="s">
        <v>162</v>
      </c>
      <c r="L232">
        <v>5500000528</v>
      </c>
      <c r="M232" t="s">
        <v>600</v>
      </c>
    </row>
    <row r="233" spans="3:13">
      <c r="C233">
        <v>2100300025</v>
      </c>
      <c r="D233">
        <v>4731000</v>
      </c>
      <c r="E233" t="s">
        <v>188</v>
      </c>
      <c r="F233">
        <v>5105010103</v>
      </c>
      <c r="G233">
        <v>509.35</v>
      </c>
      <c r="I233" t="s">
        <v>160</v>
      </c>
      <c r="J233" t="s">
        <v>587</v>
      </c>
      <c r="K233" t="s">
        <v>162</v>
      </c>
      <c r="L233">
        <v>5500000605</v>
      </c>
      <c r="M233" t="s">
        <v>601</v>
      </c>
    </row>
    <row r="234" spans="3:13">
      <c r="C234">
        <v>2100300025</v>
      </c>
      <c r="D234">
        <v>4731000</v>
      </c>
      <c r="E234" t="s">
        <v>188</v>
      </c>
      <c r="F234">
        <v>5105010103</v>
      </c>
      <c r="G234">
        <v>509.36</v>
      </c>
      <c r="I234" t="s">
        <v>160</v>
      </c>
      <c r="J234" t="s">
        <v>589</v>
      </c>
      <c r="K234" t="s">
        <v>162</v>
      </c>
      <c r="L234">
        <v>5500000682</v>
      </c>
      <c r="M234" t="s">
        <v>602</v>
      </c>
    </row>
    <row r="235" spans="3:13">
      <c r="C235">
        <v>2100300025</v>
      </c>
      <c r="D235">
        <v>4731000</v>
      </c>
      <c r="E235" t="s">
        <v>188</v>
      </c>
      <c r="F235">
        <v>5105010103</v>
      </c>
      <c r="G235">
        <v>492.92</v>
      </c>
      <c r="I235" t="s">
        <v>160</v>
      </c>
      <c r="J235" t="s">
        <v>591</v>
      </c>
      <c r="K235" t="s">
        <v>162</v>
      </c>
      <c r="L235">
        <v>5500000760</v>
      </c>
      <c r="M235" t="s">
        <v>603</v>
      </c>
    </row>
    <row r="236" spans="3:13">
      <c r="C236">
        <v>2100300025</v>
      </c>
      <c r="D236">
        <v>5331000</v>
      </c>
      <c r="E236" t="s">
        <v>188</v>
      </c>
      <c r="F236">
        <v>5105010103</v>
      </c>
      <c r="G236" s="13">
        <v>240695.95</v>
      </c>
      <c r="I236" t="s">
        <v>160</v>
      </c>
      <c r="J236" t="s">
        <v>571</v>
      </c>
      <c r="K236" t="s">
        <v>162</v>
      </c>
      <c r="L236">
        <v>5500000004</v>
      </c>
      <c r="M236" t="s">
        <v>593</v>
      </c>
    </row>
    <row r="237" spans="3:13">
      <c r="C237">
        <v>2100300025</v>
      </c>
      <c r="D237">
        <v>5331000</v>
      </c>
      <c r="E237" t="s">
        <v>188</v>
      </c>
      <c r="F237">
        <v>5105010103</v>
      </c>
      <c r="G237" s="13">
        <v>122320.89</v>
      </c>
      <c r="I237" t="s">
        <v>160</v>
      </c>
      <c r="J237" t="s">
        <v>573</v>
      </c>
      <c r="K237" t="s">
        <v>162</v>
      </c>
      <c r="L237">
        <v>5500000077</v>
      </c>
      <c r="M237" t="s">
        <v>594</v>
      </c>
    </row>
    <row r="238" spans="3:13">
      <c r="C238">
        <v>2100300025</v>
      </c>
      <c r="D238">
        <v>5331000</v>
      </c>
      <c r="E238" t="s">
        <v>188</v>
      </c>
      <c r="F238">
        <v>5105010103</v>
      </c>
      <c r="G238" s="13">
        <v>122320.9</v>
      </c>
      <c r="I238" t="s">
        <v>160</v>
      </c>
      <c r="J238" t="s">
        <v>575</v>
      </c>
      <c r="K238" t="s">
        <v>162</v>
      </c>
      <c r="L238">
        <v>5500000150</v>
      </c>
      <c r="M238" t="s">
        <v>595</v>
      </c>
    </row>
    <row r="239" spans="3:13">
      <c r="C239">
        <v>2100300025</v>
      </c>
      <c r="D239">
        <v>5331000</v>
      </c>
      <c r="E239" t="s">
        <v>188</v>
      </c>
      <c r="F239">
        <v>5105010103</v>
      </c>
      <c r="G239" s="13">
        <v>110483.38</v>
      </c>
      <c r="I239" t="s">
        <v>160</v>
      </c>
      <c r="J239" t="s">
        <v>577</v>
      </c>
      <c r="K239" t="s">
        <v>162</v>
      </c>
      <c r="L239">
        <v>5500000225</v>
      </c>
      <c r="M239" t="s">
        <v>596</v>
      </c>
    </row>
    <row r="240" spans="3:13">
      <c r="C240">
        <v>2100300025</v>
      </c>
      <c r="D240">
        <v>5331000</v>
      </c>
      <c r="E240" t="s">
        <v>188</v>
      </c>
      <c r="F240">
        <v>5105010103</v>
      </c>
      <c r="G240" s="13">
        <v>122320.9</v>
      </c>
      <c r="I240" t="s">
        <v>160</v>
      </c>
      <c r="J240" t="s">
        <v>579</v>
      </c>
      <c r="K240" t="s">
        <v>162</v>
      </c>
      <c r="L240">
        <v>5500000300</v>
      </c>
      <c r="M240" t="s">
        <v>597</v>
      </c>
    </row>
    <row r="241" spans="3:13">
      <c r="C241">
        <v>2100300025</v>
      </c>
      <c r="D241">
        <v>5331000</v>
      </c>
      <c r="E241" t="s">
        <v>188</v>
      </c>
      <c r="F241">
        <v>5105010103</v>
      </c>
      <c r="G241" s="13">
        <v>118375.06</v>
      </c>
      <c r="I241" t="s">
        <v>160</v>
      </c>
      <c r="J241" t="s">
        <v>581</v>
      </c>
      <c r="K241" t="s">
        <v>162</v>
      </c>
      <c r="L241">
        <v>5500000375</v>
      </c>
      <c r="M241" t="s">
        <v>598</v>
      </c>
    </row>
    <row r="242" spans="3:13">
      <c r="C242">
        <v>2100300025</v>
      </c>
      <c r="D242">
        <v>5331000</v>
      </c>
      <c r="E242" t="s">
        <v>188</v>
      </c>
      <c r="F242">
        <v>5105010103</v>
      </c>
      <c r="G242" s="13">
        <v>122320.89</v>
      </c>
      <c r="I242" t="s">
        <v>160</v>
      </c>
      <c r="J242" t="s">
        <v>583</v>
      </c>
      <c r="K242" t="s">
        <v>162</v>
      </c>
      <c r="L242">
        <v>5500000451</v>
      </c>
      <c r="M242" t="s">
        <v>599</v>
      </c>
    </row>
    <row r="243" spans="3:13">
      <c r="C243">
        <v>2100300025</v>
      </c>
      <c r="D243">
        <v>5331000</v>
      </c>
      <c r="E243" t="s">
        <v>188</v>
      </c>
      <c r="F243">
        <v>5105010103</v>
      </c>
      <c r="G243" s="13">
        <v>118375.06</v>
      </c>
      <c r="I243" t="s">
        <v>160</v>
      </c>
      <c r="J243" t="s">
        <v>585</v>
      </c>
      <c r="K243" t="s">
        <v>162</v>
      </c>
      <c r="L243">
        <v>5500000528</v>
      </c>
      <c r="M243" t="s">
        <v>600</v>
      </c>
    </row>
    <row r="244" spans="3:13">
      <c r="C244">
        <v>2100300025</v>
      </c>
      <c r="D244">
        <v>5331000</v>
      </c>
      <c r="E244" t="s">
        <v>188</v>
      </c>
      <c r="F244">
        <v>5105010103</v>
      </c>
      <c r="G244" s="13">
        <v>122320.89</v>
      </c>
      <c r="I244" t="s">
        <v>160</v>
      </c>
      <c r="J244" t="s">
        <v>587</v>
      </c>
      <c r="K244" t="s">
        <v>162</v>
      </c>
      <c r="L244">
        <v>5500000605</v>
      </c>
      <c r="M244" t="s">
        <v>601</v>
      </c>
    </row>
    <row r="245" spans="3:13">
      <c r="C245">
        <v>2100300025</v>
      </c>
      <c r="D245">
        <v>5331000</v>
      </c>
      <c r="E245" t="s">
        <v>188</v>
      </c>
      <c r="F245">
        <v>5105010103</v>
      </c>
      <c r="G245" s="13">
        <v>122320.89</v>
      </c>
      <c r="I245" t="s">
        <v>160</v>
      </c>
      <c r="J245" t="s">
        <v>589</v>
      </c>
      <c r="K245" t="s">
        <v>162</v>
      </c>
      <c r="L245">
        <v>5500000683</v>
      </c>
      <c r="M245" t="s">
        <v>604</v>
      </c>
    </row>
    <row r="246" spans="3:13">
      <c r="C246">
        <v>2100300025</v>
      </c>
      <c r="D246">
        <v>5331000</v>
      </c>
      <c r="E246" t="s">
        <v>188</v>
      </c>
      <c r="F246">
        <v>5105010103</v>
      </c>
      <c r="G246" s="13">
        <v>118375.06</v>
      </c>
      <c r="I246" t="s">
        <v>160</v>
      </c>
      <c r="J246" t="s">
        <v>591</v>
      </c>
      <c r="K246" t="s">
        <v>162</v>
      </c>
      <c r="L246">
        <v>5500000760</v>
      </c>
      <c r="M246" t="s">
        <v>603</v>
      </c>
    </row>
    <row r="247" spans="3:13">
      <c r="C247">
        <v>2100300025</v>
      </c>
      <c r="D247">
        <v>6226000</v>
      </c>
      <c r="E247" t="s">
        <v>188</v>
      </c>
      <c r="F247">
        <v>5105010103</v>
      </c>
      <c r="G247" s="13">
        <v>2031.15</v>
      </c>
      <c r="I247" t="s">
        <v>160</v>
      </c>
      <c r="J247" t="s">
        <v>571</v>
      </c>
      <c r="K247" t="s">
        <v>162</v>
      </c>
      <c r="L247">
        <v>5500000004</v>
      </c>
      <c r="M247" t="s">
        <v>593</v>
      </c>
    </row>
    <row r="248" spans="3:13">
      <c r="C248">
        <v>2100300025</v>
      </c>
      <c r="D248">
        <v>6226000</v>
      </c>
      <c r="E248" t="s">
        <v>188</v>
      </c>
      <c r="F248">
        <v>5105010103</v>
      </c>
      <c r="G248" s="13">
        <v>1032.22</v>
      </c>
      <c r="I248" t="s">
        <v>160</v>
      </c>
      <c r="J248" t="s">
        <v>573</v>
      </c>
      <c r="K248" t="s">
        <v>162</v>
      </c>
      <c r="L248">
        <v>5500000077</v>
      </c>
      <c r="M248" t="s">
        <v>594</v>
      </c>
    </row>
    <row r="249" spans="3:13">
      <c r="C249">
        <v>2100300025</v>
      </c>
      <c r="D249">
        <v>6226000</v>
      </c>
      <c r="E249" t="s">
        <v>188</v>
      </c>
      <c r="F249">
        <v>5105010103</v>
      </c>
      <c r="G249" s="13">
        <v>1032.23</v>
      </c>
      <c r="I249" t="s">
        <v>160</v>
      </c>
      <c r="J249" t="s">
        <v>575</v>
      </c>
      <c r="K249" t="s">
        <v>162</v>
      </c>
      <c r="L249">
        <v>5500000150</v>
      </c>
      <c r="M249" t="s">
        <v>595</v>
      </c>
    </row>
    <row r="250" spans="3:13">
      <c r="C250">
        <v>2100300025</v>
      </c>
      <c r="D250">
        <v>6226000</v>
      </c>
      <c r="E250" t="s">
        <v>188</v>
      </c>
      <c r="F250">
        <v>5105010103</v>
      </c>
      <c r="G250">
        <v>932.33</v>
      </c>
      <c r="I250" t="s">
        <v>160</v>
      </c>
      <c r="J250" t="s">
        <v>577</v>
      </c>
      <c r="K250" t="s">
        <v>162</v>
      </c>
      <c r="L250">
        <v>5500000225</v>
      </c>
      <c r="M250" t="s">
        <v>596</v>
      </c>
    </row>
    <row r="251" spans="3:13">
      <c r="C251">
        <v>2100300025</v>
      </c>
      <c r="D251">
        <v>6226000</v>
      </c>
      <c r="E251" t="s">
        <v>188</v>
      </c>
      <c r="F251">
        <v>5105010103</v>
      </c>
      <c r="G251" s="13">
        <v>1032.22</v>
      </c>
      <c r="I251" t="s">
        <v>160</v>
      </c>
      <c r="J251" t="s">
        <v>579</v>
      </c>
      <c r="K251" t="s">
        <v>162</v>
      </c>
      <c r="L251">
        <v>5500000300</v>
      </c>
      <c r="M251" t="s">
        <v>597</v>
      </c>
    </row>
    <row r="252" spans="3:13">
      <c r="C252">
        <v>2100300025</v>
      </c>
      <c r="D252">
        <v>6226000</v>
      </c>
      <c r="E252" t="s">
        <v>188</v>
      </c>
      <c r="F252">
        <v>5105010103</v>
      </c>
      <c r="G252">
        <v>998.93</v>
      </c>
      <c r="I252" t="s">
        <v>160</v>
      </c>
      <c r="J252" t="s">
        <v>581</v>
      </c>
      <c r="K252" t="s">
        <v>162</v>
      </c>
      <c r="L252">
        <v>5500000375</v>
      </c>
      <c r="M252" t="s">
        <v>598</v>
      </c>
    </row>
    <row r="253" spans="3:13">
      <c r="C253">
        <v>2100300025</v>
      </c>
      <c r="D253">
        <v>6226000</v>
      </c>
      <c r="E253" t="s">
        <v>188</v>
      </c>
      <c r="F253">
        <v>5105010103</v>
      </c>
      <c r="G253" s="13">
        <v>1032.22</v>
      </c>
      <c r="I253" t="s">
        <v>160</v>
      </c>
      <c r="J253" t="s">
        <v>583</v>
      </c>
      <c r="K253" t="s">
        <v>162</v>
      </c>
      <c r="L253">
        <v>5500000451</v>
      </c>
      <c r="M253" t="s">
        <v>599</v>
      </c>
    </row>
    <row r="254" spans="3:13">
      <c r="C254">
        <v>2100300025</v>
      </c>
      <c r="D254">
        <v>6226000</v>
      </c>
      <c r="E254" t="s">
        <v>188</v>
      </c>
      <c r="F254">
        <v>5105010103</v>
      </c>
      <c r="G254">
        <v>998.93</v>
      </c>
      <c r="I254" t="s">
        <v>160</v>
      </c>
      <c r="J254" t="s">
        <v>585</v>
      </c>
      <c r="K254" t="s">
        <v>162</v>
      </c>
      <c r="L254">
        <v>5500000528</v>
      </c>
      <c r="M254" t="s">
        <v>600</v>
      </c>
    </row>
    <row r="255" spans="3:13">
      <c r="C255">
        <v>2100300025</v>
      </c>
      <c r="D255">
        <v>6226000</v>
      </c>
      <c r="E255" t="s">
        <v>188</v>
      </c>
      <c r="F255">
        <v>5105010103</v>
      </c>
      <c r="G255" s="13">
        <v>1032.22</v>
      </c>
      <c r="I255" t="s">
        <v>160</v>
      </c>
      <c r="J255" t="s">
        <v>587</v>
      </c>
      <c r="K255" t="s">
        <v>162</v>
      </c>
      <c r="L255">
        <v>5500000605</v>
      </c>
      <c r="M255" t="s">
        <v>601</v>
      </c>
    </row>
    <row r="256" spans="3:13">
      <c r="C256">
        <v>2100300025</v>
      </c>
      <c r="D256">
        <v>6226000</v>
      </c>
      <c r="E256" t="s">
        <v>188</v>
      </c>
      <c r="F256">
        <v>5105010103</v>
      </c>
      <c r="G256" s="13">
        <v>1032.22</v>
      </c>
      <c r="I256" t="s">
        <v>160</v>
      </c>
      <c r="J256" t="s">
        <v>589</v>
      </c>
      <c r="K256" t="s">
        <v>162</v>
      </c>
      <c r="L256">
        <v>5500000683</v>
      </c>
      <c r="M256" t="s">
        <v>604</v>
      </c>
    </row>
    <row r="257" spans="3:13">
      <c r="C257">
        <v>2100300025</v>
      </c>
      <c r="D257">
        <v>6226000</v>
      </c>
      <c r="E257" t="s">
        <v>188</v>
      </c>
      <c r="F257">
        <v>5105010103</v>
      </c>
      <c r="G257">
        <v>998.93</v>
      </c>
      <c r="I257" t="s">
        <v>160</v>
      </c>
      <c r="J257" t="s">
        <v>591</v>
      </c>
      <c r="K257" t="s">
        <v>162</v>
      </c>
      <c r="L257">
        <v>5500000760</v>
      </c>
      <c r="M257" t="s">
        <v>603</v>
      </c>
    </row>
    <row r="258" spans="3:13">
      <c r="C258">
        <v>2100300025</v>
      </c>
      <c r="D258">
        <v>5426000</v>
      </c>
      <c r="E258" t="s">
        <v>188</v>
      </c>
      <c r="F258">
        <v>5105010105</v>
      </c>
      <c r="G258" s="13">
        <v>81112.429999999993</v>
      </c>
      <c r="I258" t="s">
        <v>160</v>
      </c>
      <c r="J258" t="s">
        <v>571</v>
      </c>
      <c r="K258" t="s">
        <v>163</v>
      </c>
      <c r="L258">
        <v>5500000006</v>
      </c>
      <c r="M258" t="s">
        <v>605</v>
      </c>
    </row>
    <row r="259" spans="3:13">
      <c r="C259">
        <v>2100300025</v>
      </c>
      <c r="D259">
        <v>5426000</v>
      </c>
      <c r="E259" t="s">
        <v>188</v>
      </c>
      <c r="F259">
        <v>5105010105</v>
      </c>
      <c r="G259" s="13">
        <v>41221.07</v>
      </c>
      <c r="I259" t="s">
        <v>160</v>
      </c>
      <c r="J259" t="s">
        <v>573</v>
      </c>
      <c r="K259" t="s">
        <v>163</v>
      </c>
      <c r="L259">
        <v>5500000079</v>
      </c>
      <c r="M259" t="s">
        <v>606</v>
      </c>
    </row>
    <row r="260" spans="3:13">
      <c r="C260">
        <v>2100300025</v>
      </c>
      <c r="D260">
        <v>5426000</v>
      </c>
      <c r="E260" t="s">
        <v>188</v>
      </c>
      <c r="F260">
        <v>5105010105</v>
      </c>
      <c r="G260" s="13">
        <v>41221.07</v>
      </c>
      <c r="I260" t="s">
        <v>160</v>
      </c>
      <c r="J260" t="s">
        <v>575</v>
      </c>
      <c r="K260" t="s">
        <v>163</v>
      </c>
      <c r="L260">
        <v>5500000152</v>
      </c>
      <c r="M260" t="s">
        <v>607</v>
      </c>
    </row>
    <row r="261" spans="3:13">
      <c r="C261">
        <v>2100300025</v>
      </c>
      <c r="D261">
        <v>5426000</v>
      </c>
      <c r="E261" t="s">
        <v>188</v>
      </c>
      <c r="F261">
        <v>5105010105</v>
      </c>
      <c r="G261" s="13">
        <v>37231.94</v>
      </c>
      <c r="I261" t="s">
        <v>160</v>
      </c>
      <c r="J261" t="s">
        <v>577</v>
      </c>
      <c r="K261" t="s">
        <v>163</v>
      </c>
      <c r="L261">
        <v>5500000228</v>
      </c>
      <c r="M261" t="s">
        <v>608</v>
      </c>
    </row>
    <row r="262" spans="3:13">
      <c r="C262">
        <v>2100300025</v>
      </c>
      <c r="D262">
        <v>5426000</v>
      </c>
      <c r="E262" t="s">
        <v>188</v>
      </c>
      <c r="F262">
        <v>5105010105</v>
      </c>
      <c r="G262" s="13">
        <v>41221.07</v>
      </c>
      <c r="I262" t="s">
        <v>160</v>
      </c>
      <c r="J262" t="s">
        <v>579</v>
      </c>
      <c r="K262" t="s">
        <v>163</v>
      </c>
      <c r="L262">
        <v>5500000303</v>
      </c>
      <c r="M262" t="s">
        <v>609</v>
      </c>
    </row>
    <row r="263" spans="3:13">
      <c r="C263">
        <v>2100300025</v>
      </c>
      <c r="D263">
        <v>5426000</v>
      </c>
      <c r="E263" t="s">
        <v>188</v>
      </c>
      <c r="F263">
        <v>5105010105</v>
      </c>
      <c r="G263" s="13">
        <v>39891.360000000001</v>
      </c>
      <c r="I263" t="s">
        <v>160</v>
      </c>
      <c r="J263" t="s">
        <v>581</v>
      </c>
      <c r="K263" t="s">
        <v>163</v>
      </c>
      <c r="L263">
        <v>5500000378</v>
      </c>
      <c r="M263" t="s">
        <v>610</v>
      </c>
    </row>
    <row r="264" spans="3:13">
      <c r="C264">
        <v>2100300025</v>
      </c>
      <c r="D264">
        <v>5426000</v>
      </c>
      <c r="E264" t="s">
        <v>188</v>
      </c>
      <c r="F264">
        <v>5105010105</v>
      </c>
      <c r="G264" s="13">
        <v>41221.07</v>
      </c>
      <c r="I264" t="s">
        <v>160</v>
      </c>
      <c r="J264" t="s">
        <v>583</v>
      </c>
      <c r="K264" t="s">
        <v>163</v>
      </c>
      <c r="L264">
        <v>5500000454</v>
      </c>
      <c r="M264" t="s">
        <v>611</v>
      </c>
    </row>
    <row r="265" spans="3:13">
      <c r="C265">
        <v>2100300025</v>
      </c>
      <c r="D265">
        <v>5426000</v>
      </c>
      <c r="E265" t="s">
        <v>188</v>
      </c>
      <c r="F265">
        <v>5105010105</v>
      </c>
      <c r="G265" s="13">
        <v>39891.360000000001</v>
      </c>
      <c r="I265" t="s">
        <v>160</v>
      </c>
      <c r="J265" t="s">
        <v>585</v>
      </c>
      <c r="K265" t="s">
        <v>163</v>
      </c>
      <c r="L265">
        <v>5500000531</v>
      </c>
      <c r="M265" t="s">
        <v>612</v>
      </c>
    </row>
    <row r="266" spans="3:13">
      <c r="C266">
        <v>2100300025</v>
      </c>
      <c r="D266">
        <v>5426000</v>
      </c>
      <c r="E266" t="s">
        <v>188</v>
      </c>
      <c r="F266">
        <v>5105010105</v>
      </c>
      <c r="G266" s="13">
        <v>41221.07</v>
      </c>
      <c r="I266" t="s">
        <v>160</v>
      </c>
      <c r="J266" t="s">
        <v>587</v>
      </c>
      <c r="K266" t="s">
        <v>163</v>
      </c>
      <c r="L266">
        <v>5500000608</v>
      </c>
      <c r="M266" t="s">
        <v>613</v>
      </c>
    </row>
    <row r="267" spans="3:13">
      <c r="C267">
        <v>2100300025</v>
      </c>
      <c r="D267">
        <v>5426000</v>
      </c>
      <c r="E267" t="s">
        <v>188</v>
      </c>
      <c r="F267">
        <v>5105010105</v>
      </c>
      <c r="G267" s="13">
        <v>41221.07</v>
      </c>
      <c r="I267" t="s">
        <v>160</v>
      </c>
      <c r="J267" t="s">
        <v>589</v>
      </c>
      <c r="K267" t="s">
        <v>163</v>
      </c>
      <c r="L267">
        <v>5500000685</v>
      </c>
      <c r="M267" t="s">
        <v>614</v>
      </c>
    </row>
    <row r="268" spans="3:13">
      <c r="C268">
        <v>2100300025</v>
      </c>
      <c r="D268">
        <v>5426000</v>
      </c>
      <c r="E268" t="s">
        <v>188</v>
      </c>
      <c r="F268">
        <v>5105010105</v>
      </c>
      <c r="G268" s="13">
        <v>39891.360000000001</v>
      </c>
      <c r="I268" t="s">
        <v>160</v>
      </c>
      <c r="J268" t="s">
        <v>591</v>
      </c>
      <c r="K268" t="s">
        <v>163</v>
      </c>
      <c r="L268">
        <v>5500000762</v>
      </c>
      <c r="M268" t="s">
        <v>615</v>
      </c>
    </row>
    <row r="269" spans="3:13">
      <c r="C269">
        <v>2100300025</v>
      </c>
      <c r="D269">
        <v>5511320</v>
      </c>
      <c r="E269" t="s">
        <v>194</v>
      </c>
      <c r="F269">
        <v>5105010105</v>
      </c>
      <c r="G269" s="13">
        <v>257852.78</v>
      </c>
      <c r="I269" t="s">
        <v>160</v>
      </c>
      <c r="J269" t="s">
        <v>571</v>
      </c>
      <c r="K269" t="s">
        <v>163</v>
      </c>
      <c r="L269">
        <v>5500000006</v>
      </c>
      <c r="M269" t="s">
        <v>605</v>
      </c>
    </row>
    <row r="270" spans="3:13">
      <c r="C270">
        <v>2100300025</v>
      </c>
      <c r="D270">
        <v>5511320</v>
      </c>
      <c r="E270" t="s">
        <v>194</v>
      </c>
      <c r="F270">
        <v>5105010105</v>
      </c>
      <c r="G270" s="13">
        <v>131039.94</v>
      </c>
      <c r="I270" t="s">
        <v>160</v>
      </c>
      <c r="J270" t="s">
        <v>573</v>
      </c>
      <c r="K270" t="s">
        <v>163</v>
      </c>
      <c r="L270">
        <v>5500000079</v>
      </c>
      <c r="M270" t="s">
        <v>606</v>
      </c>
    </row>
    <row r="271" spans="3:13">
      <c r="C271">
        <v>2100300025</v>
      </c>
      <c r="D271">
        <v>5511320</v>
      </c>
      <c r="E271" t="s">
        <v>194</v>
      </c>
      <c r="F271">
        <v>5105010105</v>
      </c>
      <c r="G271" s="13">
        <v>131039.94</v>
      </c>
      <c r="I271" t="s">
        <v>160</v>
      </c>
      <c r="J271" t="s">
        <v>575</v>
      </c>
      <c r="K271" t="s">
        <v>163</v>
      </c>
      <c r="L271">
        <v>5500000152</v>
      </c>
      <c r="M271" t="s">
        <v>607</v>
      </c>
    </row>
    <row r="272" spans="3:13">
      <c r="C272">
        <v>2100300025</v>
      </c>
      <c r="D272">
        <v>5511320</v>
      </c>
      <c r="E272" t="s">
        <v>194</v>
      </c>
      <c r="F272">
        <v>5105010105</v>
      </c>
      <c r="G272" s="13">
        <v>118358.65</v>
      </c>
      <c r="I272" t="s">
        <v>160</v>
      </c>
      <c r="J272" t="s">
        <v>577</v>
      </c>
      <c r="K272" t="s">
        <v>163</v>
      </c>
      <c r="L272">
        <v>5500000228</v>
      </c>
      <c r="M272" t="s">
        <v>608</v>
      </c>
    </row>
    <row r="273" spans="3:13">
      <c r="C273">
        <v>2100300025</v>
      </c>
      <c r="D273">
        <v>5511320</v>
      </c>
      <c r="E273" t="s">
        <v>194</v>
      </c>
      <c r="F273">
        <v>5105010105</v>
      </c>
      <c r="G273" s="13">
        <v>131039.94</v>
      </c>
      <c r="I273" t="s">
        <v>160</v>
      </c>
      <c r="J273" t="s">
        <v>579</v>
      </c>
      <c r="K273" t="s">
        <v>163</v>
      </c>
      <c r="L273">
        <v>5500000303</v>
      </c>
      <c r="M273" t="s">
        <v>609</v>
      </c>
    </row>
    <row r="274" spans="3:13">
      <c r="C274">
        <v>2100300025</v>
      </c>
      <c r="D274">
        <v>5511320</v>
      </c>
      <c r="E274" t="s">
        <v>194</v>
      </c>
      <c r="F274">
        <v>5105010105</v>
      </c>
      <c r="G274" s="13">
        <v>126812.85</v>
      </c>
      <c r="I274" t="s">
        <v>160</v>
      </c>
      <c r="J274" t="s">
        <v>581</v>
      </c>
      <c r="K274" t="s">
        <v>163</v>
      </c>
      <c r="L274">
        <v>5500000378</v>
      </c>
      <c r="M274" t="s">
        <v>610</v>
      </c>
    </row>
    <row r="275" spans="3:13">
      <c r="C275">
        <v>2100300025</v>
      </c>
      <c r="D275">
        <v>5511320</v>
      </c>
      <c r="E275" t="s">
        <v>194</v>
      </c>
      <c r="F275">
        <v>5105010105</v>
      </c>
      <c r="G275" s="13">
        <v>131039.94</v>
      </c>
      <c r="I275" t="s">
        <v>160</v>
      </c>
      <c r="J275" t="s">
        <v>583</v>
      </c>
      <c r="K275" t="s">
        <v>163</v>
      </c>
      <c r="L275">
        <v>5500000454</v>
      </c>
      <c r="M275" t="s">
        <v>611</v>
      </c>
    </row>
    <row r="276" spans="3:13">
      <c r="C276">
        <v>2100300025</v>
      </c>
      <c r="D276">
        <v>5511320</v>
      </c>
      <c r="E276" t="s">
        <v>194</v>
      </c>
      <c r="F276">
        <v>5105010105</v>
      </c>
      <c r="G276" s="13">
        <v>126812.84</v>
      </c>
      <c r="I276" t="s">
        <v>160</v>
      </c>
      <c r="J276" t="s">
        <v>585</v>
      </c>
      <c r="K276" t="s">
        <v>163</v>
      </c>
      <c r="L276">
        <v>5500000531</v>
      </c>
      <c r="M276" t="s">
        <v>612</v>
      </c>
    </row>
    <row r="277" spans="3:13">
      <c r="C277">
        <v>2100300025</v>
      </c>
      <c r="D277">
        <v>5511320</v>
      </c>
      <c r="E277" t="s">
        <v>194</v>
      </c>
      <c r="F277">
        <v>5105010105</v>
      </c>
      <c r="G277" s="13">
        <v>131039.94</v>
      </c>
      <c r="I277" t="s">
        <v>160</v>
      </c>
      <c r="J277" t="s">
        <v>587</v>
      </c>
      <c r="K277" t="s">
        <v>163</v>
      </c>
      <c r="L277">
        <v>5500000608</v>
      </c>
      <c r="M277" t="s">
        <v>613</v>
      </c>
    </row>
    <row r="278" spans="3:13">
      <c r="C278">
        <v>2100300025</v>
      </c>
      <c r="D278">
        <v>5511320</v>
      </c>
      <c r="E278" t="s">
        <v>194</v>
      </c>
      <c r="F278">
        <v>5105010105</v>
      </c>
      <c r="G278" s="13">
        <v>131039.94</v>
      </c>
      <c r="I278" t="s">
        <v>160</v>
      </c>
      <c r="J278" t="s">
        <v>589</v>
      </c>
      <c r="K278" t="s">
        <v>163</v>
      </c>
      <c r="L278">
        <v>5500000685</v>
      </c>
      <c r="M278" t="s">
        <v>614</v>
      </c>
    </row>
    <row r="279" spans="3:13">
      <c r="C279">
        <v>2100300025</v>
      </c>
      <c r="D279">
        <v>5511320</v>
      </c>
      <c r="E279" t="s">
        <v>194</v>
      </c>
      <c r="F279">
        <v>5105010105</v>
      </c>
      <c r="G279" s="13">
        <v>126812.84</v>
      </c>
      <c r="I279" t="s">
        <v>160</v>
      </c>
      <c r="J279" t="s">
        <v>591</v>
      </c>
      <c r="K279" t="s">
        <v>163</v>
      </c>
      <c r="L279">
        <v>5500000762</v>
      </c>
      <c r="M279" t="s">
        <v>615</v>
      </c>
    </row>
    <row r="280" spans="3:13">
      <c r="C280">
        <v>2100300025</v>
      </c>
      <c r="D280">
        <v>5826000</v>
      </c>
      <c r="E280" t="s">
        <v>188</v>
      </c>
      <c r="F280">
        <v>5105010105</v>
      </c>
      <c r="G280">
        <v>367.67</v>
      </c>
      <c r="I280" t="s">
        <v>160</v>
      </c>
      <c r="J280" t="s">
        <v>571</v>
      </c>
      <c r="K280" t="s">
        <v>163</v>
      </c>
      <c r="L280">
        <v>5500000006</v>
      </c>
      <c r="M280" t="s">
        <v>605</v>
      </c>
    </row>
    <row r="281" spans="3:13">
      <c r="C281">
        <v>2100300025</v>
      </c>
      <c r="D281">
        <v>5826000</v>
      </c>
      <c r="E281" t="s">
        <v>188</v>
      </c>
      <c r="F281">
        <v>5105010105</v>
      </c>
      <c r="G281">
        <v>186.85</v>
      </c>
      <c r="I281" t="s">
        <v>160</v>
      </c>
      <c r="J281" t="s">
        <v>573</v>
      </c>
      <c r="K281" t="s">
        <v>163</v>
      </c>
      <c r="L281">
        <v>5500000079</v>
      </c>
      <c r="M281" t="s">
        <v>606</v>
      </c>
    </row>
    <row r="282" spans="3:13">
      <c r="C282">
        <v>2100300025</v>
      </c>
      <c r="D282">
        <v>5826000</v>
      </c>
      <c r="E282" t="s">
        <v>188</v>
      </c>
      <c r="F282">
        <v>5105010105</v>
      </c>
      <c r="G282">
        <v>186.85</v>
      </c>
      <c r="I282" t="s">
        <v>160</v>
      </c>
      <c r="J282" t="s">
        <v>575</v>
      </c>
      <c r="K282" t="s">
        <v>163</v>
      </c>
      <c r="L282">
        <v>5500000152</v>
      </c>
      <c r="M282" t="s">
        <v>607</v>
      </c>
    </row>
    <row r="283" spans="3:13">
      <c r="C283">
        <v>2100300025</v>
      </c>
      <c r="D283">
        <v>5826000</v>
      </c>
      <c r="E283" t="s">
        <v>188</v>
      </c>
      <c r="F283">
        <v>5105010105</v>
      </c>
      <c r="G283">
        <v>168.77</v>
      </c>
      <c r="I283" t="s">
        <v>160</v>
      </c>
      <c r="J283" t="s">
        <v>577</v>
      </c>
      <c r="K283" t="s">
        <v>163</v>
      </c>
      <c r="L283">
        <v>5500000228</v>
      </c>
      <c r="M283" t="s">
        <v>608</v>
      </c>
    </row>
    <row r="284" spans="3:13">
      <c r="C284">
        <v>2100300025</v>
      </c>
      <c r="D284">
        <v>5826000</v>
      </c>
      <c r="E284" t="s">
        <v>188</v>
      </c>
      <c r="F284">
        <v>5105010105</v>
      </c>
      <c r="G284">
        <v>186.85</v>
      </c>
      <c r="I284" t="s">
        <v>160</v>
      </c>
      <c r="J284" t="s">
        <v>579</v>
      </c>
      <c r="K284" t="s">
        <v>163</v>
      </c>
      <c r="L284">
        <v>5500000303</v>
      </c>
      <c r="M284" t="s">
        <v>609</v>
      </c>
    </row>
    <row r="285" spans="3:13">
      <c r="C285">
        <v>2100300025</v>
      </c>
      <c r="D285">
        <v>5826000</v>
      </c>
      <c r="E285" t="s">
        <v>188</v>
      </c>
      <c r="F285">
        <v>5105010105</v>
      </c>
      <c r="G285">
        <v>180.82</v>
      </c>
      <c r="I285" t="s">
        <v>160</v>
      </c>
      <c r="J285" t="s">
        <v>581</v>
      </c>
      <c r="K285" t="s">
        <v>163</v>
      </c>
      <c r="L285">
        <v>5500000378</v>
      </c>
      <c r="M285" t="s">
        <v>610</v>
      </c>
    </row>
    <row r="286" spans="3:13">
      <c r="C286">
        <v>2100300025</v>
      </c>
      <c r="D286">
        <v>5826000</v>
      </c>
      <c r="E286" t="s">
        <v>188</v>
      </c>
      <c r="F286">
        <v>5105010105</v>
      </c>
      <c r="G286">
        <v>186.85</v>
      </c>
      <c r="I286" t="s">
        <v>160</v>
      </c>
      <c r="J286" t="s">
        <v>583</v>
      </c>
      <c r="K286" t="s">
        <v>163</v>
      </c>
      <c r="L286">
        <v>5500000454</v>
      </c>
      <c r="M286" t="s">
        <v>611</v>
      </c>
    </row>
    <row r="287" spans="3:13">
      <c r="C287">
        <v>2100300025</v>
      </c>
      <c r="D287">
        <v>5826000</v>
      </c>
      <c r="E287" t="s">
        <v>188</v>
      </c>
      <c r="F287">
        <v>5105010105</v>
      </c>
      <c r="G287">
        <v>180.82</v>
      </c>
      <c r="I287" t="s">
        <v>160</v>
      </c>
      <c r="J287" t="s">
        <v>585</v>
      </c>
      <c r="K287" t="s">
        <v>163</v>
      </c>
      <c r="L287">
        <v>5500000531</v>
      </c>
      <c r="M287" t="s">
        <v>612</v>
      </c>
    </row>
    <row r="288" spans="3:13">
      <c r="C288">
        <v>2100300025</v>
      </c>
      <c r="D288">
        <v>5826000</v>
      </c>
      <c r="E288" t="s">
        <v>188</v>
      </c>
      <c r="F288">
        <v>5105010105</v>
      </c>
      <c r="G288">
        <v>186.85</v>
      </c>
      <c r="I288" t="s">
        <v>160</v>
      </c>
      <c r="J288" t="s">
        <v>587</v>
      </c>
      <c r="K288" t="s">
        <v>163</v>
      </c>
      <c r="L288">
        <v>5500000608</v>
      </c>
      <c r="M288" t="s">
        <v>613</v>
      </c>
    </row>
    <row r="289" spans="3:13">
      <c r="C289">
        <v>2100300025</v>
      </c>
      <c r="D289">
        <v>5826000</v>
      </c>
      <c r="E289" t="s">
        <v>188</v>
      </c>
      <c r="F289">
        <v>5105010105</v>
      </c>
      <c r="G289">
        <v>186.85</v>
      </c>
      <c r="I289" t="s">
        <v>160</v>
      </c>
      <c r="J289" t="s">
        <v>589</v>
      </c>
      <c r="K289" t="s">
        <v>163</v>
      </c>
      <c r="L289">
        <v>5500000685</v>
      </c>
      <c r="M289" t="s">
        <v>614</v>
      </c>
    </row>
    <row r="290" spans="3:13">
      <c r="C290">
        <v>2100300025</v>
      </c>
      <c r="D290">
        <v>5826000</v>
      </c>
      <c r="E290" t="s">
        <v>188</v>
      </c>
      <c r="F290">
        <v>5105010105</v>
      </c>
      <c r="G290">
        <v>180.82</v>
      </c>
      <c r="I290" t="s">
        <v>160</v>
      </c>
      <c r="J290" t="s">
        <v>591</v>
      </c>
      <c r="K290" t="s">
        <v>163</v>
      </c>
      <c r="L290">
        <v>5500000762</v>
      </c>
      <c r="M290" t="s">
        <v>615</v>
      </c>
    </row>
    <row r="291" spans="3:13">
      <c r="C291">
        <v>2100300025</v>
      </c>
      <c r="D291">
        <v>5831000</v>
      </c>
      <c r="E291" t="s">
        <v>188</v>
      </c>
      <c r="F291">
        <v>5105010105</v>
      </c>
      <c r="G291" s="13">
        <v>85236.65</v>
      </c>
      <c r="I291" t="s">
        <v>160</v>
      </c>
      <c r="J291" t="s">
        <v>571</v>
      </c>
      <c r="K291" t="s">
        <v>163</v>
      </c>
      <c r="L291">
        <v>5500000006</v>
      </c>
      <c r="M291" t="s">
        <v>605</v>
      </c>
    </row>
    <row r="292" spans="3:13">
      <c r="C292">
        <v>2100300025</v>
      </c>
      <c r="D292">
        <v>5831000</v>
      </c>
      <c r="E292" t="s">
        <v>188</v>
      </c>
      <c r="F292">
        <v>5105010105</v>
      </c>
      <c r="G292" s="13">
        <v>43317</v>
      </c>
      <c r="I292" t="s">
        <v>160</v>
      </c>
      <c r="J292" t="s">
        <v>573</v>
      </c>
      <c r="K292" t="s">
        <v>163</v>
      </c>
      <c r="L292">
        <v>5500000079</v>
      </c>
      <c r="M292" t="s">
        <v>606</v>
      </c>
    </row>
    <row r="293" spans="3:13">
      <c r="C293">
        <v>2100300025</v>
      </c>
      <c r="D293">
        <v>5831000</v>
      </c>
      <c r="E293" t="s">
        <v>188</v>
      </c>
      <c r="F293">
        <v>5105010105</v>
      </c>
      <c r="G293" s="13">
        <v>43316.99</v>
      </c>
      <c r="I293" t="s">
        <v>160</v>
      </c>
      <c r="J293" t="s">
        <v>575</v>
      </c>
      <c r="K293" t="s">
        <v>163</v>
      </c>
      <c r="L293">
        <v>5500000152</v>
      </c>
      <c r="M293" t="s">
        <v>607</v>
      </c>
    </row>
    <row r="294" spans="3:13">
      <c r="C294">
        <v>2100300025</v>
      </c>
      <c r="D294">
        <v>5831000</v>
      </c>
      <c r="E294" t="s">
        <v>188</v>
      </c>
      <c r="F294">
        <v>5105010105</v>
      </c>
      <c r="G294" s="13">
        <v>39125.019999999997</v>
      </c>
      <c r="I294" t="s">
        <v>160</v>
      </c>
      <c r="J294" t="s">
        <v>577</v>
      </c>
      <c r="K294" t="s">
        <v>163</v>
      </c>
      <c r="L294">
        <v>5500000228</v>
      </c>
      <c r="M294" t="s">
        <v>608</v>
      </c>
    </row>
    <row r="295" spans="3:13">
      <c r="C295">
        <v>2100300025</v>
      </c>
      <c r="D295">
        <v>5831000</v>
      </c>
      <c r="E295" t="s">
        <v>188</v>
      </c>
      <c r="F295">
        <v>5105010105</v>
      </c>
      <c r="G295" s="13">
        <v>43317</v>
      </c>
      <c r="I295" t="s">
        <v>160</v>
      </c>
      <c r="J295" t="s">
        <v>579</v>
      </c>
      <c r="K295" t="s">
        <v>163</v>
      </c>
      <c r="L295">
        <v>5500000303</v>
      </c>
      <c r="M295" t="s">
        <v>609</v>
      </c>
    </row>
    <row r="296" spans="3:13">
      <c r="C296">
        <v>2100300025</v>
      </c>
      <c r="D296">
        <v>5831000</v>
      </c>
      <c r="E296" t="s">
        <v>188</v>
      </c>
      <c r="F296">
        <v>5105010105</v>
      </c>
      <c r="G296" s="13">
        <v>41919.660000000003</v>
      </c>
      <c r="I296" t="s">
        <v>160</v>
      </c>
      <c r="J296" t="s">
        <v>581</v>
      </c>
      <c r="K296" t="s">
        <v>163</v>
      </c>
      <c r="L296">
        <v>5500000378</v>
      </c>
      <c r="M296" t="s">
        <v>610</v>
      </c>
    </row>
    <row r="297" spans="3:13">
      <c r="C297">
        <v>2100300025</v>
      </c>
      <c r="D297">
        <v>5831000</v>
      </c>
      <c r="E297" t="s">
        <v>188</v>
      </c>
      <c r="F297">
        <v>5105010105</v>
      </c>
      <c r="G297" s="13">
        <v>43317</v>
      </c>
      <c r="I297" t="s">
        <v>160</v>
      </c>
      <c r="J297" t="s">
        <v>583</v>
      </c>
      <c r="K297" t="s">
        <v>163</v>
      </c>
      <c r="L297">
        <v>5500000454</v>
      </c>
      <c r="M297" t="s">
        <v>611</v>
      </c>
    </row>
    <row r="298" spans="3:13">
      <c r="C298">
        <v>2100300025</v>
      </c>
      <c r="D298">
        <v>5831000</v>
      </c>
      <c r="E298" t="s">
        <v>188</v>
      </c>
      <c r="F298">
        <v>5105010105</v>
      </c>
      <c r="G298" s="13">
        <v>41919.67</v>
      </c>
      <c r="I298" t="s">
        <v>160</v>
      </c>
      <c r="J298" t="s">
        <v>585</v>
      </c>
      <c r="K298" t="s">
        <v>163</v>
      </c>
      <c r="L298">
        <v>5500000531</v>
      </c>
      <c r="M298" t="s">
        <v>612</v>
      </c>
    </row>
    <row r="299" spans="3:13">
      <c r="C299">
        <v>2100300025</v>
      </c>
      <c r="D299">
        <v>5831000</v>
      </c>
      <c r="E299" t="s">
        <v>188</v>
      </c>
      <c r="F299">
        <v>5105010105</v>
      </c>
      <c r="G299" s="13">
        <v>43317</v>
      </c>
      <c r="I299" t="s">
        <v>160</v>
      </c>
      <c r="J299" t="s">
        <v>587</v>
      </c>
      <c r="K299" t="s">
        <v>163</v>
      </c>
      <c r="L299">
        <v>5500000608</v>
      </c>
      <c r="M299" t="s">
        <v>613</v>
      </c>
    </row>
    <row r="300" spans="3:13">
      <c r="C300">
        <v>2100300025</v>
      </c>
      <c r="D300">
        <v>5831000</v>
      </c>
      <c r="E300" t="s">
        <v>188</v>
      </c>
      <c r="F300">
        <v>5105010105</v>
      </c>
      <c r="G300" s="13">
        <v>43316.97</v>
      </c>
      <c r="I300" t="s">
        <v>160</v>
      </c>
      <c r="J300" t="s">
        <v>589</v>
      </c>
      <c r="K300" t="s">
        <v>163</v>
      </c>
      <c r="L300">
        <v>5500000685</v>
      </c>
      <c r="M300" t="s">
        <v>614</v>
      </c>
    </row>
    <row r="301" spans="3:13">
      <c r="C301">
        <v>2100300025</v>
      </c>
      <c r="D301">
        <v>5831000</v>
      </c>
      <c r="E301" t="s">
        <v>188</v>
      </c>
      <c r="F301">
        <v>5105010105</v>
      </c>
      <c r="G301" s="13">
        <v>41919.68</v>
      </c>
      <c r="I301" t="s">
        <v>160</v>
      </c>
      <c r="J301" t="s">
        <v>591</v>
      </c>
      <c r="K301" t="s">
        <v>163</v>
      </c>
      <c r="L301">
        <v>5500000762</v>
      </c>
      <c r="M301" t="s">
        <v>615</v>
      </c>
    </row>
    <row r="302" spans="3:13">
      <c r="C302">
        <v>2100300025</v>
      </c>
      <c r="D302">
        <v>5926000</v>
      </c>
      <c r="E302" t="s">
        <v>188</v>
      </c>
      <c r="F302">
        <v>5105010105</v>
      </c>
      <c r="G302">
        <v>999.65</v>
      </c>
      <c r="I302" t="s">
        <v>160</v>
      </c>
      <c r="J302" t="s">
        <v>571</v>
      </c>
      <c r="K302" t="s">
        <v>163</v>
      </c>
      <c r="L302">
        <v>5500000006</v>
      </c>
      <c r="M302" t="s">
        <v>605</v>
      </c>
    </row>
    <row r="303" spans="3:13">
      <c r="C303">
        <v>2100300025</v>
      </c>
      <c r="D303">
        <v>5926000</v>
      </c>
      <c r="E303" t="s">
        <v>188</v>
      </c>
      <c r="F303">
        <v>5105010105</v>
      </c>
      <c r="G303">
        <v>508.02</v>
      </c>
      <c r="I303" t="s">
        <v>160</v>
      </c>
      <c r="J303" t="s">
        <v>573</v>
      </c>
      <c r="K303" t="s">
        <v>163</v>
      </c>
      <c r="L303">
        <v>5500000079</v>
      </c>
      <c r="M303" t="s">
        <v>606</v>
      </c>
    </row>
    <row r="304" spans="3:13">
      <c r="C304">
        <v>2100300025</v>
      </c>
      <c r="D304">
        <v>5926000</v>
      </c>
      <c r="E304" t="s">
        <v>188</v>
      </c>
      <c r="F304">
        <v>5105010105</v>
      </c>
      <c r="G304">
        <v>508.02</v>
      </c>
      <c r="I304" t="s">
        <v>160</v>
      </c>
      <c r="J304" t="s">
        <v>575</v>
      </c>
      <c r="K304" t="s">
        <v>163</v>
      </c>
      <c r="L304">
        <v>5500000153</v>
      </c>
      <c r="M304" t="s">
        <v>616</v>
      </c>
    </row>
    <row r="305" spans="3:13">
      <c r="C305">
        <v>2100300025</v>
      </c>
      <c r="D305">
        <v>5926000</v>
      </c>
      <c r="E305" t="s">
        <v>188</v>
      </c>
      <c r="F305">
        <v>5105010105</v>
      </c>
      <c r="G305">
        <v>458.85</v>
      </c>
      <c r="I305" t="s">
        <v>160</v>
      </c>
      <c r="J305" t="s">
        <v>577</v>
      </c>
      <c r="K305" t="s">
        <v>163</v>
      </c>
      <c r="L305">
        <v>5500000228</v>
      </c>
      <c r="M305" t="s">
        <v>608</v>
      </c>
    </row>
    <row r="306" spans="3:13">
      <c r="C306">
        <v>2100300025</v>
      </c>
      <c r="D306">
        <v>5926000</v>
      </c>
      <c r="E306" t="s">
        <v>188</v>
      </c>
      <c r="F306">
        <v>5105010105</v>
      </c>
      <c r="G306">
        <v>508.02</v>
      </c>
      <c r="I306" t="s">
        <v>160</v>
      </c>
      <c r="J306" t="s">
        <v>579</v>
      </c>
      <c r="K306" t="s">
        <v>163</v>
      </c>
      <c r="L306">
        <v>5500000303</v>
      </c>
      <c r="M306" t="s">
        <v>609</v>
      </c>
    </row>
    <row r="307" spans="3:13">
      <c r="C307">
        <v>2100300025</v>
      </c>
      <c r="D307">
        <v>5926000</v>
      </c>
      <c r="E307" t="s">
        <v>188</v>
      </c>
      <c r="F307">
        <v>5105010105</v>
      </c>
      <c r="G307">
        <v>491.63</v>
      </c>
      <c r="I307" t="s">
        <v>160</v>
      </c>
      <c r="J307" t="s">
        <v>581</v>
      </c>
      <c r="K307" t="s">
        <v>163</v>
      </c>
      <c r="L307">
        <v>5500000378</v>
      </c>
      <c r="M307" t="s">
        <v>610</v>
      </c>
    </row>
    <row r="308" spans="3:13">
      <c r="C308">
        <v>2100300025</v>
      </c>
      <c r="D308">
        <v>5926000</v>
      </c>
      <c r="E308" t="s">
        <v>188</v>
      </c>
      <c r="F308">
        <v>5105010105</v>
      </c>
      <c r="G308">
        <v>508.02</v>
      </c>
      <c r="I308" t="s">
        <v>160</v>
      </c>
      <c r="J308" t="s">
        <v>583</v>
      </c>
      <c r="K308" t="s">
        <v>163</v>
      </c>
      <c r="L308">
        <v>5500000454</v>
      </c>
      <c r="M308" t="s">
        <v>611</v>
      </c>
    </row>
    <row r="309" spans="3:13">
      <c r="C309">
        <v>2100300025</v>
      </c>
      <c r="D309">
        <v>5926000</v>
      </c>
      <c r="E309" t="s">
        <v>188</v>
      </c>
      <c r="F309">
        <v>5105010105</v>
      </c>
      <c r="G309">
        <v>491.63</v>
      </c>
      <c r="I309" t="s">
        <v>160</v>
      </c>
      <c r="J309" t="s">
        <v>585</v>
      </c>
      <c r="K309" t="s">
        <v>163</v>
      </c>
      <c r="L309">
        <v>5500000531</v>
      </c>
      <c r="M309" t="s">
        <v>612</v>
      </c>
    </row>
    <row r="310" spans="3:13">
      <c r="C310">
        <v>2100300025</v>
      </c>
      <c r="D310">
        <v>5926000</v>
      </c>
      <c r="E310" t="s">
        <v>188</v>
      </c>
      <c r="F310">
        <v>5105010105</v>
      </c>
      <c r="G310">
        <v>508.02</v>
      </c>
      <c r="I310" t="s">
        <v>160</v>
      </c>
      <c r="J310" t="s">
        <v>587</v>
      </c>
      <c r="K310" t="s">
        <v>163</v>
      </c>
      <c r="L310">
        <v>5500000608</v>
      </c>
      <c r="M310" t="s">
        <v>613</v>
      </c>
    </row>
    <row r="311" spans="3:13">
      <c r="C311">
        <v>2100300025</v>
      </c>
      <c r="D311">
        <v>5926000</v>
      </c>
      <c r="E311" t="s">
        <v>188</v>
      </c>
      <c r="F311">
        <v>5105010105</v>
      </c>
      <c r="G311">
        <v>508.02</v>
      </c>
      <c r="I311" t="s">
        <v>160</v>
      </c>
      <c r="J311" t="s">
        <v>589</v>
      </c>
      <c r="K311" t="s">
        <v>163</v>
      </c>
      <c r="L311">
        <v>5500000685</v>
      </c>
      <c r="M311" t="s">
        <v>614</v>
      </c>
    </row>
    <row r="312" spans="3:13">
      <c r="C312">
        <v>2100300025</v>
      </c>
      <c r="D312">
        <v>5926000</v>
      </c>
      <c r="E312" t="s">
        <v>188</v>
      </c>
      <c r="F312">
        <v>5105010105</v>
      </c>
      <c r="G312">
        <v>491.63</v>
      </c>
      <c r="I312" t="s">
        <v>160</v>
      </c>
      <c r="J312" t="s">
        <v>591</v>
      </c>
      <c r="K312" t="s">
        <v>163</v>
      </c>
      <c r="L312">
        <v>5500000762</v>
      </c>
      <c r="M312" t="s">
        <v>615</v>
      </c>
    </row>
    <row r="313" spans="3:13">
      <c r="C313">
        <v>2100300025</v>
      </c>
      <c r="D313">
        <v>6131000</v>
      </c>
      <c r="E313" t="s">
        <v>188</v>
      </c>
      <c r="F313">
        <v>5105010105</v>
      </c>
      <c r="G313" s="13">
        <v>99842.55</v>
      </c>
      <c r="I313" t="s">
        <v>160</v>
      </c>
      <c r="J313" t="s">
        <v>571</v>
      </c>
      <c r="K313" t="s">
        <v>163</v>
      </c>
      <c r="L313">
        <v>5500000006</v>
      </c>
      <c r="M313" t="s">
        <v>605</v>
      </c>
    </row>
    <row r="314" spans="3:13">
      <c r="C314">
        <v>2100300025</v>
      </c>
      <c r="D314">
        <v>6131000</v>
      </c>
      <c r="E314" t="s">
        <v>188</v>
      </c>
      <c r="F314">
        <v>5105010105</v>
      </c>
      <c r="G314" s="13">
        <v>50739.65</v>
      </c>
      <c r="I314" t="s">
        <v>160</v>
      </c>
      <c r="J314" t="s">
        <v>573</v>
      </c>
      <c r="K314" t="s">
        <v>163</v>
      </c>
      <c r="L314">
        <v>5500000079</v>
      </c>
      <c r="M314" t="s">
        <v>606</v>
      </c>
    </row>
    <row r="315" spans="3:13">
      <c r="C315">
        <v>2100300025</v>
      </c>
      <c r="D315">
        <v>6131000</v>
      </c>
      <c r="E315" t="s">
        <v>188</v>
      </c>
      <c r="F315">
        <v>5105010105</v>
      </c>
      <c r="G315" s="13">
        <v>50739.65</v>
      </c>
      <c r="I315" t="s">
        <v>160</v>
      </c>
      <c r="J315" t="s">
        <v>575</v>
      </c>
      <c r="K315" t="s">
        <v>163</v>
      </c>
      <c r="L315">
        <v>5500000153</v>
      </c>
      <c r="M315" t="s">
        <v>616</v>
      </c>
    </row>
    <row r="316" spans="3:13">
      <c r="C316">
        <v>2100300025</v>
      </c>
      <c r="D316">
        <v>6131000</v>
      </c>
      <c r="E316" t="s">
        <v>188</v>
      </c>
      <c r="F316">
        <v>5105010105</v>
      </c>
      <c r="G316" s="13">
        <v>45829.37</v>
      </c>
      <c r="I316" t="s">
        <v>160</v>
      </c>
      <c r="J316" t="s">
        <v>577</v>
      </c>
      <c r="K316" t="s">
        <v>163</v>
      </c>
      <c r="L316">
        <v>5500000228</v>
      </c>
      <c r="M316" t="s">
        <v>608</v>
      </c>
    </row>
    <row r="317" spans="3:13">
      <c r="C317">
        <v>2100300025</v>
      </c>
      <c r="D317">
        <v>6131000</v>
      </c>
      <c r="E317" t="s">
        <v>188</v>
      </c>
      <c r="F317">
        <v>5105010105</v>
      </c>
      <c r="G317" s="13">
        <v>50739.65</v>
      </c>
      <c r="I317" t="s">
        <v>160</v>
      </c>
      <c r="J317" t="s">
        <v>579</v>
      </c>
      <c r="K317" t="s">
        <v>163</v>
      </c>
      <c r="L317">
        <v>5500000303</v>
      </c>
      <c r="M317" t="s">
        <v>609</v>
      </c>
    </row>
    <row r="318" spans="3:13">
      <c r="C318">
        <v>2100300025</v>
      </c>
      <c r="D318">
        <v>6131000</v>
      </c>
      <c r="E318" t="s">
        <v>188</v>
      </c>
      <c r="F318">
        <v>5105010105</v>
      </c>
      <c r="G318" s="13">
        <v>49102.89</v>
      </c>
      <c r="I318" t="s">
        <v>160</v>
      </c>
      <c r="J318" t="s">
        <v>581</v>
      </c>
      <c r="K318" t="s">
        <v>163</v>
      </c>
      <c r="L318">
        <v>5500000378</v>
      </c>
      <c r="M318" t="s">
        <v>610</v>
      </c>
    </row>
    <row r="319" spans="3:13">
      <c r="C319">
        <v>2100300025</v>
      </c>
      <c r="D319">
        <v>6131000</v>
      </c>
      <c r="E319" t="s">
        <v>188</v>
      </c>
      <c r="F319">
        <v>5105010105</v>
      </c>
      <c r="G319" s="13">
        <v>50739.66</v>
      </c>
      <c r="I319" t="s">
        <v>160</v>
      </c>
      <c r="J319" t="s">
        <v>583</v>
      </c>
      <c r="K319" t="s">
        <v>163</v>
      </c>
      <c r="L319">
        <v>5500000454</v>
      </c>
      <c r="M319" t="s">
        <v>611</v>
      </c>
    </row>
    <row r="320" spans="3:13">
      <c r="C320">
        <v>2100300025</v>
      </c>
      <c r="D320">
        <v>6131000</v>
      </c>
      <c r="E320" t="s">
        <v>188</v>
      </c>
      <c r="F320">
        <v>5105010105</v>
      </c>
      <c r="G320" s="13">
        <v>49102.89</v>
      </c>
      <c r="I320" t="s">
        <v>160</v>
      </c>
      <c r="J320" t="s">
        <v>585</v>
      </c>
      <c r="K320" t="s">
        <v>163</v>
      </c>
      <c r="L320">
        <v>5500000531</v>
      </c>
      <c r="M320" t="s">
        <v>612</v>
      </c>
    </row>
    <row r="321" spans="3:13">
      <c r="C321">
        <v>2100300025</v>
      </c>
      <c r="D321">
        <v>6131000</v>
      </c>
      <c r="E321" t="s">
        <v>188</v>
      </c>
      <c r="F321">
        <v>5105010105</v>
      </c>
      <c r="G321" s="13">
        <v>50739.65</v>
      </c>
      <c r="I321" t="s">
        <v>160</v>
      </c>
      <c r="J321" t="s">
        <v>587</v>
      </c>
      <c r="K321" t="s">
        <v>163</v>
      </c>
      <c r="L321">
        <v>5500000608</v>
      </c>
      <c r="M321" t="s">
        <v>613</v>
      </c>
    </row>
    <row r="322" spans="3:13">
      <c r="C322">
        <v>2100300025</v>
      </c>
      <c r="D322">
        <v>6131000</v>
      </c>
      <c r="E322" t="s">
        <v>188</v>
      </c>
      <c r="F322">
        <v>5105010105</v>
      </c>
      <c r="G322" s="13">
        <v>50739.66</v>
      </c>
      <c r="I322" t="s">
        <v>160</v>
      </c>
      <c r="J322" t="s">
        <v>589</v>
      </c>
      <c r="K322" t="s">
        <v>163</v>
      </c>
      <c r="L322">
        <v>5500000685</v>
      </c>
      <c r="M322" t="s">
        <v>614</v>
      </c>
    </row>
    <row r="323" spans="3:13">
      <c r="C323">
        <v>2100300025</v>
      </c>
      <c r="D323">
        <v>6131000</v>
      </c>
      <c r="E323" t="s">
        <v>188</v>
      </c>
      <c r="F323">
        <v>5105010105</v>
      </c>
      <c r="G323" s="13">
        <v>49102.89</v>
      </c>
      <c r="I323" t="s">
        <v>160</v>
      </c>
      <c r="J323" t="s">
        <v>591</v>
      </c>
      <c r="K323" t="s">
        <v>163</v>
      </c>
      <c r="L323">
        <v>5500000762</v>
      </c>
      <c r="M323" t="s">
        <v>615</v>
      </c>
    </row>
    <row r="324" spans="3:13">
      <c r="C324">
        <v>2100300025</v>
      </c>
      <c r="D324">
        <v>6226000</v>
      </c>
      <c r="E324" t="s">
        <v>188</v>
      </c>
      <c r="F324">
        <v>5105010105</v>
      </c>
      <c r="G324" s="13">
        <v>31133.24</v>
      </c>
      <c r="I324" t="s">
        <v>160</v>
      </c>
      <c r="J324" t="s">
        <v>571</v>
      </c>
      <c r="K324" t="s">
        <v>163</v>
      </c>
      <c r="L324">
        <v>5500000006</v>
      </c>
      <c r="M324" t="s">
        <v>605</v>
      </c>
    </row>
    <row r="325" spans="3:13">
      <c r="C325">
        <v>2100300025</v>
      </c>
      <c r="D325">
        <v>6226000</v>
      </c>
      <c r="E325" t="s">
        <v>188</v>
      </c>
      <c r="F325">
        <v>5105010105</v>
      </c>
      <c r="G325" s="13">
        <v>15821.81</v>
      </c>
      <c r="I325" t="s">
        <v>160</v>
      </c>
      <c r="J325" t="s">
        <v>573</v>
      </c>
      <c r="K325" t="s">
        <v>163</v>
      </c>
      <c r="L325">
        <v>5500000079</v>
      </c>
      <c r="M325" t="s">
        <v>606</v>
      </c>
    </row>
    <row r="326" spans="3:13">
      <c r="C326">
        <v>2100300025</v>
      </c>
      <c r="D326">
        <v>6226000</v>
      </c>
      <c r="E326" t="s">
        <v>188</v>
      </c>
      <c r="F326">
        <v>5105010105</v>
      </c>
      <c r="G326" s="13">
        <v>15821.82</v>
      </c>
      <c r="I326" t="s">
        <v>160</v>
      </c>
      <c r="J326" t="s">
        <v>575</v>
      </c>
      <c r="K326" t="s">
        <v>163</v>
      </c>
      <c r="L326">
        <v>5500000153</v>
      </c>
      <c r="M326" t="s">
        <v>616</v>
      </c>
    </row>
    <row r="327" spans="3:13">
      <c r="C327">
        <v>2100300025</v>
      </c>
      <c r="D327">
        <v>6226000</v>
      </c>
      <c r="E327" t="s">
        <v>188</v>
      </c>
      <c r="F327">
        <v>5105010105</v>
      </c>
      <c r="G327" s="13">
        <v>14290.66</v>
      </c>
      <c r="I327" t="s">
        <v>160</v>
      </c>
      <c r="J327" t="s">
        <v>577</v>
      </c>
      <c r="K327" t="s">
        <v>163</v>
      </c>
      <c r="L327">
        <v>5500000228</v>
      </c>
      <c r="M327" t="s">
        <v>608</v>
      </c>
    </row>
    <row r="328" spans="3:13">
      <c r="C328">
        <v>2100300025</v>
      </c>
      <c r="D328">
        <v>6226000</v>
      </c>
      <c r="E328" t="s">
        <v>188</v>
      </c>
      <c r="F328">
        <v>5105010105</v>
      </c>
      <c r="G328" s="13">
        <v>15821.81</v>
      </c>
      <c r="I328" t="s">
        <v>160</v>
      </c>
      <c r="J328" t="s">
        <v>579</v>
      </c>
      <c r="K328" t="s">
        <v>163</v>
      </c>
      <c r="L328">
        <v>5500000303</v>
      </c>
      <c r="M328" t="s">
        <v>609</v>
      </c>
    </row>
    <row r="329" spans="3:13">
      <c r="C329">
        <v>2100300025</v>
      </c>
      <c r="D329">
        <v>6226000</v>
      </c>
      <c r="E329" t="s">
        <v>188</v>
      </c>
      <c r="F329">
        <v>5105010105</v>
      </c>
      <c r="G329" s="13">
        <v>15311.44</v>
      </c>
      <c r="I329" t="s">
        <v>160</v>
      </c>
      <c r="J329" t="s">
        <v>581</v>
      </c>
      <c r="K329" t="s">
        <v>163</v>
      </c>
      <c r="L329">
        <v>5500000378</v>
      </c>
      <c r="M329" t="s">
        <v>610</v>
      </c>
    </row>
    <row r="330" spans="3:13">
      <c r="C330">
        <v>2100300025</v>
      </c>
      <c r="D330">
        <v>6226000</v>
      </c>
      <c r="E330" t="s">
        <v>188</v>
      </c>
      <c r="F330">
        <v>5105010105</v>
      </c>
      <c r="G330" s="13">
        <v>15821.81</v>
      </c>
      <c r="I330" t="s">
        <v>160</v>
      </c>
      <c r="J330" t="s">
        <v>583</v>
      </c>
      <c r="K330" t="s">
        <v>163</v>
      </c>
      <c r="L330">
        <v>5500000454</v>
      </c>
      <c r="M330" t="s">
        <v>611</v>
      </c>
    </row>
    <row r="331" spans="3:13">
      <c r="C331">
        <v>2100300025</v>
      </c>
      <c r="D331">
        <v>6226000</v>
      </c>
      <c r="E331" t="s">
        <v>188</v>
      </c>
      <c r="F331">
        <v>5105010105</v>
      </c>
      <c r="G331" s="13">
        <v>15311.43</v>
      </c>
      <c r="I331" t="s">
        <v>160</v>
      </c>
      <c r="J331" t="s">
        <v>585</v>
      </c>
      <c r="K331" t="s">
        <v>163</v>
      </c>
      <c r="L331">
        <v>5500000531</v>
      </c>
      <c r="M331" t="s">
        <v>612</v>
      </c>
    </row>
    <row r="332" spans="3:13">
      <c r="C332">
        <v>2100300025</v>
      </c>
      <c r="D332">
        <v>6226000</v>
      </c>
      <c r="E332" t="s">
        <v>188</v>
      </c>
      <c r="F332">
        <v>5105010105</v>
      </c>
      <c r="G332" s="13">
        <v>15821.81</v>
      </c>
      <c r="I332" t="s">
        <v>160</v>
      </c>
      <c r="J332" t="s">
        <v>587</v>
      </c>
      <c r="K332" t="s">
        <v>163</v>
      </c>
      <c r="L332">
        <v>5500000608</v>
      </c>
      <c r="M332" t="s">
        <v>613</v>
      </c>
    </row>
    <row r="333" spans="3:13">
      <c r="C333">
        <v>2100300025</v>
      </c>
      <c r="D333">
        <v>6226000</v>
      </c>
      <c r="E333" t="s">
        <v>188</v>
      </c>
      <c r="F333">
        <v>5105010105</v>
      </c>
      <c r="G333" s="13">
        <v>15821.81</v>
      </c>
      <c r="I333" t="s">
        <v>160</v>
      </c>
      <c r="J333" t="s">
        <v>589</v>
      </c>
      <c r="K333" t="s">
        <v>163</v>
      </c>
      <c r="L333">
        <v>5500000685</v>
      </c>
      <c r="M333" t="s">
        <v>614</v>
      </c>
    </row>
    <row r="334" spans="3:13">
      <c r="C334">
        <v>2100300025</v>
      </c>
      <c r="D334">
        <v>6226000</v>
      </c>
      <c r="E334" t="s">
        <v>188</v>
      </c>
      <c r="F334">
        <v>5105010105</v>
      </c>
      <c r="G334" s="13">
        <v>15311.43</v>
      </c>
      <c r="I334" t="s">
        <v>160</v>
      </c>
      <c r="J334" t="s">
        <v>591</v>
      </c>
      <c r="K334" t="s">
        <v>163</v>
      </c>
      <c r="L334">
        <v>5500000762</v>
      </c>
      <c r="M334" t="s">
        <v>615</v>
      </c>
    </row>
    <row r="335" spans="3:13">
      <c r="C335">
        <v>2100300025</v>
      </c>
      <c r="D335">
        <v>6326000</v>
      </c>
      <c r="E335" t="s">
        <v>188</v>
      </c>
      <c r="F335">
        <v>5105010105</v>
      </c>
      <c r="G335" s="13">
        <v>14239.66</v>
      </c>
      <c r="I335" t="s">
        <v>160</v>
      </c>
      <c r="J335" t="s">
        <v>571</v>
      </c>
      <c r="K335" t="s">
        <v>163</v>
      </c>
      <c r="L335">
        <v>5500000006</v>
      </c>
      <c r="M335" t="s">
        <v>605</v>
      </c>
    </row>
    <row r="336" spans="3:13">
      <c r="C336">
        <v>2100300025</v>
      </c>
      <c r="D336">
        <v>6326000</v>
      </c>
      <c r="E336" t="s">
        <v>188</v>
      </c>
      <c r="F336">
        <v>5105010105</v>
      </c>
      <c r="G336" s="13">
        <v>7236.56</v>
      </c>
      <c r="I336" t="s">
        <v>160</v>
      </c>
      <c r="J336" t="s">
        <v>573</v>
      </c>
      <c r="K336" t="s">
        <v>163</v>
      </c>
      <c r="L336">
        <v>5500000080</v>
      </c>
      <c r="M336" t="s">
        <v>617</v>
      </c>
    </row>
    <row r="337" spans="3:13">
      <c r="C337">
        <v>2100300025</v>
      </c>
      <c r="D337">
        <v>6326000</v>
      </c>
      <c r="E337" t="s">
        <v>188</v>
      </c>
      <c r="F337">
        <v>5105010105</v>
      </c>
      <c r="G337" s="13">
        <v>7236.54</v>
      </c>
      <c r="I337" t="s">
        <v>160</v>
      </c>
      <c r="J337" t="s">
        <v>575</v>
      </c>
      <c r="K337" t="s">
        <v>163</v>
      </c>
      <c r="L337">
        <v>5500000153</v>
      </c>
      <c r="M337" t="s">
        <v>616</v>
      </c>
    </row>
    <row r="338" spans="3:13">
      <c r="C338">
        <v>2100300025</v>
      </c>
      <c r="D338">
        <v>6326000</v>
      </c>
      <c r="E338" t="s">
        <v>188</v>
      </c>
      <c r="F338">
        <v>5105010105</v>
      </c>
      <c r="G338" s="13">
        <v>6536.25</v>
      </c>
      <c r="I338" t="s">
        <v>160</v>
      </c>
      <c r="J338" t="s">
        <v>577</v>
      </c>
      <c r="K338" t="s">
        <v>163</v>
      </c>
      <c r="L338">
        <v>5500000228</v>
      </c>
      <c r="M338" t="s">
        <v>608</v>
      </c>
    </row>
    <row r="339" spans="3:13">
      <c r="C339">
        <v>2100300025</v>
      </c>
      <c r="D339">
        <v>6326000</v>
      </c>
      <c r="E339" t="s">
        <v>188</v>
      </c>
      <c r="F339">
        <v>5105010105</v>
      </c>
      <c r="G339" s="13">
        <v>7236.55</v>
      </c>
      <c r="I339" t="s">
        <v>160</v>
      </c>
      <c r="J339" t="s">
        <v>579</v>
      </c>
      <c r="K339" t="s">
        <v>163</v>
      </c>
      <c r="L339">
        <v>5500000303</v>
      </c>
      <c r="M339" t="s">
        <v>609</v>
      </c>
    </row>
    <row r="340" spans="3:13">
      <c r="C340">
        <v>2100300025</v>
      </c>
      <c r="D340">
        <v>6326000</v>
      </c>
      <c r="E340" t="s">
        <v>188</v>
      </c>
      <c r="F340">
        <v>5105010105</v>
      </c>
      <c r="G340" s="13">
        <v>7003.11</v>
      </c>
      <c r="I340" t="s">
        <v>160</v>
      </c>
      <c r="J340" t="s">
        <v>581</v>
      </c>
      <c r="K340" t="s">
        <v>163</v>
      </c>
      <c r="L340">
        <v>5500000378</v>
      </c>
      <c r="M340" t="s">
        <v>610</v>
      </c>
    </row>
    <row r="341" spans="3:13">
      <c r="C341">
        <v>2100300025</v>
      </c>
      <c r="D341">
        <v>6326000</v>
      </c>
      <c r="E341" t="s">
        <v>188</v>
      </c>
      <c r="F341">
        <v>5105010105</v>
      </c>
      <c r="G341" s="13">
        <v>7236.55</v>
      </c>
      <c r="I341" t="s">
        <v>160</v>
      </c>
      <c r="J341" t="s">
        <v>583</v>
      </c>
      <c r="K341" t="s">
        <v>163</v>
      </c>
      <c r="L341">
        <v>5500000454</v>
      </c>
      <c r="M341" t="s">
        <v>611</v>
      </c>
    </row>
    <row r="342" spans="3:13">
      <c r="C342">
        <v>2100300025</v>
      </c>
      <c r="D342">
        <v>6326000</v>
      </c>
      <c r="E342" t="s">
        <v>188</v>
      </c>
      <c r="F342">
        <v>5105010105</v>
      </c>
      <c r="G342" s="13">
        <v>7003.11</v>
      </c>
      <c r="I342" t="s">
        <v>160</v>
      </c>
      <c r="J342" t="s">
        <v>585</v>
      </c>
      <c r="K342" t="s">
        <v>163</v>
      </c>
      <c r="L342">
        <v>5500000531</v>
      </c>
      <c r="M342" t="s">
        <v>612</v>
      </c>
    </row>
    <row r="343" spans="3:13">
      <c r="C343">
        <v>2100300025</v>
      </c>
      <c r="D343">
        <v>6326000</v>
      </c>
      <c r="E343" t="s">
        <v>188</v>
      </c>
      <c r="F343">
        <v>5105010105</v>
      </c>
      <c r="G343" s="13">
        <v>7236.56</v>
      </c>
      <c r="I343" t="s">
        <v>160</v>
      </c>
      <c r="J343" t="s">
        <v>587</v>
      </c>
      <c r="K343" t="s">
        <v>163</v>
      </c>
      <c r="L343">
        <v>5500000608</v>
      </c>
      <c r="M343" t="s">
        <v>613</v>
      </c>
    </row>
    <row r="344" spans="3:13">
      <c r="C344">
        <v>2100300025</v>
      </c>
      <c r="D344">
        <v>6326000</v>
      </c>
      <c r="E344" t="s">
        <v>188</v>
      </c>
      <c r="F344">
        <v>5105010105</v>
      </c>
      <c r="G344" s="13">
        <v>7236.55</v>
      </c>
      <c r="I344" t="s">
        <v>160</v>
      </c>
      <c r="J344" t="s">
        <v>589</v>
      </c>
      <c r="K344" t="s">
        <v>163</v>
      </c>
      <c r="L344">
        <v>5500000685</v>
      </c>
      <c r="M344" t="s">
        <v>614</v>
      </c>
    </row>
    <row r="345" spans="3:13">
      <c r="C345">
        <v>2100300025</v>
      </c>
      <c r="D345">
        <v>6326000</v>
      </c>
      <c r="E345" t="s">
        <v>188</v>
      </c>
      <c r="F345">
        <v>5105010105</v>
      </c>
      <c r="G345" s="13">
        <v>7003.11</v>
      </c>
      <c r="I345" t="s">
        <v>160</v>
      </c>
      <c r="J345" t="s">
        <v>591</v>
      </c>
      <c r="K345" t="s">
        <v>163</v>
      </c>
      <c r="L345">
        <v>5500000762</v>
      </c>
      <c r="M345" t="s">
        <v>615</v>
      </c>
    </row>
    <row r="346" spans="3:13">
      <c r="C346">
        <v>2100300025</v>
      </c>
      <c r="D346">
        <v>4826000</v>
      </c>
      <c r="E346" t="s">
        <v>188</v>
      </c>
      <c r="F346">
        <v>5105010107</v>
      </c>
      <c r="G346" s="13">
        <v>13153.65</v>
      </c>
      <c r="I346" t="s">
        <v>160</v>
      </c>
      <c r="J346" t="s">
        <v>571</v>
      </c>
      <c r="K346" t="s">
        <v>164</v>
      </c>
      <c r="L346">
        <v>5500000009</v>
      </c>
      <c r="M346" t="s">
        <v>618</v>
      </c>
    </row>
    <row r="347" spans="3:13">
      <c r="C347">
        <v>2100300025</v>
      </c>
      <c r="D347">
        <v>4826000</v>
      </c>
      <c r="E347" t="s">
        <v>188</v>
      </c>
      <c r="F347">
        <v>5105010107</v>
      </c>
      <c r="G347" s="13">
        <v>3233.5</v>
      </c>
      <c r="I347" t="s">
        <v>160</v>
      </c>
      <c r="J347" t="s">
        <v>573</v>
      </c>
      <c r="K347" t="s">
        <v>164</v>
      </c>
      <c r="L347">
        <v>5500000082</v>
      </c>
      <c r="M347" t="s">
        <v>619</v>
      </c>
    </row>
    <row r="348" spans="3:13">
      <c r="C348">
        <v>2100300025</v>
      </c>
      <c r="D348">
        <v>4926000</v>
      </c>
      <c r="E348" t="s">
        <v>188</v>
      </c>
      <c r="F348">
        <v>5105010107</v>
      </c>
      <c r="G348" s="13">
        <v>2303.81</v>
      </c>
      <c r="I348" t="s">
        <v>160</v>
      </c>
      <c r="J348" t="s">
        <v>571</v>
      </c>
      <c r="K348" t="s">
        <v>164</v>
      </c>
      <c r="L348">
        <v>5500000009</v>
      </c>
      <c r="M348" t="s">
        <v>618</v>
      </c>
    </row>
    <row r="349" spans="3:13">
      <c r="C349">
        <v>2100300025</v>
      </c>
      <c r="D349">
        <v>4926000</v>
      </c>
      <c r="E349" t="s">
        <v>188</v>
      </c>
      <c r="F349">
        <v>5105010107</v>
      </c>
      <c r="G349" s="13">
        <v>1170.8</v>
      </c>
      <c r="I349" t="s">
        <v>160</v>
      </c>
      <c r="J349" t="s">
        <v>573</v>
      </c>
      <c r="K349" t="s">
        <v>164</v>
      </c>
      <c r="L349">
        <v>5500000082</v>
      </c>
      <c r="M349" t="s">
        <v>619</v>
      </c>
    </row>
    <row r="350" spans="3:13">
      <c r="C350">
        <v>2100300025</v>
      </c>
      <c r="D350">
        <v>4926000</v>
      </c>
      <c r="E350" t="s">
        <v>188</v>
      </c>
      <c r="F350">
        <v>5105010107</v>
      </c>
      <c r="G350" s="13">
        <v>1170.79</v>
      </c>
      <c r="I350" t="s">
        <v>160</v>
      </c>
      <c r="J350" t="s">
        <v>575</v>
      </c>
      <c r="K350" t="s">
        <v>164</v>
      </c>
      <c r="L350">
        <v>5500000155</v>
      </c>
      <c r="M350" t="s">
        <v>620</v>
      </c>
    </row>
    <row r="351" spans="3:13">
      <c r="C351">
        <v>2100300025</v>
      </c>
      <c r="D351">
        <v>4926000</v>
      </c>
      <c r="E351" t="s">
        <v>188</v>
      </c>
      <c r="F351">
        <v>5105010107</v>
      </c>
      <c r="G351" s="13">
        <v>1057.49</v>
      </c>
      <c r="I351" t="s">
        <v>160</v>
      </c>
      <c r="J351" t="s">
        <v>577</v>
      </c>
      <c r="K351" t="s">
        <v>164</v>
      </c>
      <c r="L351">
        <v>5500000230</v>
      </c>
      <c r="M351" t="s">
        <v>621</v>
      </c>
    </row>
    <row r="352" spans="3:13">
      <c r="C352">
        <v>2100300025</v>
      </c>
      <c r="D352">
        <v>4926000</v>
      </c>
      <c r="E352" t="s">
        <v>188</v>
      </c>
      <c r="F352">
        <v>5105010107</v>
      </c>
      <c r="G352" s="13">
        <v>1170.79</v>
      </c>
      <c r="I352" t="s">
        <v>160</v>
      </c>
      <c r="J352" t="s">
        <v>579</v>
      </c>
      <c r="K352" t="s">
        <v>164</v>
      </c>
      <c r="L352">
        <v>5500000305</v>
      </c>
      <c r="M352" t="s">
        <v>622</v>
      </c>
    </row>
    <row r="353" spans="3:13">
      <c r="C353">
        <v>2100300025</v>
      </c>
      <c r="D353">
        <v>4926000</v>
      </c>
      <c r="E353" t="s">
        <v>188</v>
      </c>
      <c r="F353">
        <v>5105010107</v>
      </c>
      <c r="G353" s="13">
        <v>1133.02</v>
      </c>
      <c r="I353" t="s">
        <v>160</v>
      </c>
      <c r="J353" t="s">
        <v>581</v>
      </c>
      <c r="K353" t="s">
        <v>164</v>
      </c>
      <c r="L353">
        <v>5500000381</v>
      </c>
      <c r="M353" t="s">
        <v>623</v>
      </c>
    </row>
    <row r="354" spans="3:13">
      <c r="C354">
        <v>2100300025</v>
      </c>
      <c r="D354">
        <v>4926000</v>
      </c>
      <c r="E354" t="s">
        <v>188</v>
      </c>
      <c r="F354">
        <v>5105010107</v>
      </c>
      <c r="G354" s="13">
        <v>1170.79</v>
      </c>
      <c r="I354" t="s">
        <v>160</v>
      </c>
      <c r="J354" t="s">
        <v>583</v>
      </c>
      <c r="K354" t="s">
        <v>164</v>
      </c>
      <c r="L354">
        <v>5500000457</v>
      </c>
      <c r="M354" t="s">
        <v>624</v>
      </c>
    </row>
    <row r="355" spans="3:13">
      <c r="C355">
        <v>2100300025</v>
      </c>
      <c r="D355">
        <v>4926000</v>
      </c>
      <c r="E355" t="s">
        <v>188</v>
      </c>
      <c r="F355">
        <v>5105010107</v>
      </c>
      <c r="G355" s="13">
        <v>1133.02</v>
      </c>
      <c r="I355" t="s">
        <v>160</v>
      </c>
      <c r="J355" t="s">
        <v>585</v>
      </c>
      <c r="K355" t="s">
        <v>164</v>
      </c>
      <c r="L355">
        <v>5500000534</v>
      </c>
      <c r="M355" t="s">
        <v>625</v>
      </c>
    </row>
    <row r="356" spans="3:13">
      <c r="C356">
        <v>2100300025</v>
      </c>
      <c r="D356">
        <v>4926000</v>
      </c>
      <c r="E356" t="s">
        <v>188</v>
      </c>
      <c r="F356">
        <v>5105010107</v>
      </c>
      <c r="G356" s="13">
        <v>1170.8</v>
      </c>
      <c r="I356" t="s">
        <v>160</v>
      </c>
      <c r="J356" t="s">
        <v>587</v>
      </c>
      <c r="K356" t="s">
        <v>164</v>
      </c>
      <c r="L356">
        <v>5500000611</v>
      </c>
      <c r="M356" t="s">
        <v>626</v>
      </c>
    </row>
    <row r="357" spans="3:13">
      <c r="C357">
        <v>2100300025</v>
      </c>
      <c r="D357">
        <v>4926000</v>
      </c>
      <c r="E357" t="s">
        <v>188</v>
      </c>
      <c r="F357">
        <v>5105010107</v>
      </c>
      <c r="G357" s="13">
        <v>1170.79</v>
      </c>
      <c r="I357" t="s">
        <v>160</v>
      </c>
      <c r="J357" t="s">
        <v>589</v>
      </c>
      <c r="K357" t="s">
        <v>164</v>
      </c>
      <c r="L357">
        <v>5500000688</v>
      </c>
      <c r="M357" t="s">
        <v>627</v>
      </c>
    </row>
    <row r="358" spans="3:13">
      <c r="C358">
        <v>2100300025</v>
      </c>
      <c r="D358">
        <v>4926000</v>
      </c>
      <c r="E358" t="s">
        <v>188</v>
      </c>
      <c r="F358">
        <v>5105010107</v>
      </c>
      <c r="G358" s="13">
        <v>1133.02</v>
      </c>
      <c r="I358" t="s">
        <v>160</v>
      </c>
      <c r="J358" t="s">
        <v>591</v>
      </c>
      <c r="K358" t="s">
        <v>164</v>
      </c>
      <c r="L358">
        <v>5500000765</v>
      </c>
      <c r="M358" t="s">
        <v>628</v>
      </c>
    </row>
    <row r="359" spans="3:13">
      <c r="C359">
        <v>2100300025</v>
      </c>
      <c r="D359">
        <v>5226000</v>
      </c>
      <c r="E359" t="s">
        <v>188</v>
      </c>
      <c r="F359">
        <v>5105010107</v>
      </c>
      <c r="G359" s="13">
        <v>21246.94</v>
      </c>
      <c r="I359" t="s">
        <v>160</v>
      </c>
      <c r="J359" t="s">
        <v>571</v>
      </c>
      <c r="K359" t="s">
        <v>164</v>
      </c>
      <c r="L359">
        <v>5500000009</v>
      </c>
      <c r="M359" t="s">
        <v>618</v>
      </c>
    </row>
    <row r="360" spans="3:13">
      <c r="C360">
        <v>2100300025</v>
      </c>
      <c r="D360">
        <v>5226000</v>
      </c>
      <c r="E360" t="s">
        <v>188</v>
      </c>
      <c r="F360">
        <v>5105010107</v>
      </c>
      <c r="G360" s="13">
        <v>10797.63</v>
      </c>
      <c r="I360" t="s">
        <v>160</v>
      </c>
      <c r="J360" t="s">
        <v>573</v>
      </c>
      <c r="K360" t="s">
        <v>164</v>
      </c>
      <c r="L360">
        <v>5500000082</v>
      </c>
      <c r="M360" t="s">
        <v>619</v>
      </c>
    </row>
    <row r="361" spans="3:13">
      <c r="C361">
        <v>2100300025</v>
      </c>
      <c r="D361">
        <v>5226000</v>
      </c>
      <c r="E361" t="s">
        <v>188</v>
      </c>
      <c r="F361">
        <v>5105010107</v>
      </c>
      <c r="G361" s="13">
        <v>10797.62</v>
      </c>
      <c r="I361" t="s">
        <v>160</v>
      </c>
      <c r="J361" t="s">
        <v>575</v>
      </c>
      <c r="K361" t="s">
        <v>164</v>
      </c>
      <c r="L361">
        <v>5500000155</v>
      </c>
      <c r="M361" t="s">
        <v>620</v>
      </c>
    </row>
    <row r="362" spans="3:13">
      <c r="C362">
        <v>2100300025</v>
      </c>
      <c r="D362">
        <v>5226000</v>
      </c>
      <c r="E362" t="s">
        <v>188</v>
      </c>
      <c r="F362">
        <v>5105010107</v>
      </c>
      <c r="G362" s="13">
        <v>9752.69</v>
      </c>
      <c r="I362" t="s">
        <v>160</v>
      </c>
      <c r="J362" t="s">
        <v>577</v>
      </c>
      <c r="K362" t="s">
        <v>164</v>
      </c>
      <c r="L362">
        <v>5500000230</v>
      </c>
      <c r="M362" t="s">
        <v>621</v>
      </c>
    </row>
    <row r="363" spans="3:13">
      <c r="C363">
        <v>2100300025</v>
      </c>
      <c r="D363">
        <v>5226000</v>
      </c>
      <c r="E363" t="s">
        <v>188</v>
      </c>
      <c r="F363">
        <v>5105010107</v>
      </c>
      <c r="G363" s="13">
        <v>10797.63</v>
      </c>
      <c r="I363" t="s">
        <v>160</v>
      </c>
      <c r="J363" t="s">
        <v>579</v>
      </c>
      <c r="K363" t="s">
        <v>164</v>
      </c>
      <c r="L363">
        <v>5500000305</v>
      </c>
      <c r="M363" t="s">
        <v>622</v>
      </c>
    </row>
    <row r="364" spans="3:13">
      <c r="C364">
        <v>2100300025</v>
      </c>
      <c r="D364">
        <v>5226000</v>
      </c>
      <c r="E364" t="s">
        <v>188</v>
      </c>
      <c r="F364">
        <v>5105010107</v>
      </c>
      <c r="G364" s="13">
        <v>10449.31</v>
      </c>
      <c r="I364" t="s">
        <v>160</v>
      </c>
      <c r="J364" t="s">
        <v>581</v>
      </c>
      <c r="K364" t="s">
        <v>164</v>
      </c>
      <c r="L364">
        <v>5500000381</v>
      </c>
      <c r="M364" t="s">
        <v>623</v>
      </c>
    </row>
    <row r="365" spans="3:13">
      <c r="C365">
        <v>2100300025</v>
      </c>
      <c r="D365">
        <v>5226000</v>
      </c>
      <c r="E365" t="s">
        <v>188</v>
      </c>
      <c r="F365">
        <v>5105010107</v>
      </c>
      <c r="G365" s="13">
        <v>10797.63</v>
      </c>
      <c r="I365" t="s">
        <v>160</v>
      </c>
      <c r="J365" t="s">
        <v>583</v>
      </c>
      <c r="K365" t="s">
        <v>164</v>
      </c>
      <c r="L365">
        <v>5500000457</v>
      </c>
      <c r="M365" t="s">
        <v>624</v>
      </c>
    </row>
    <row r="366" spans="3:13">
      <c r="C366">
        <v>2100300025</v>
      </c>
      <c r="D366">
        <v>5226000</v>
      </c>
      <c r="E366" t="s">
        <v>188</v>
      </c>
      <c r="F366">
        <v>5105010107</v>
      </c>
      <c r="G366" s="13">
        <v>10449.31</v>
      </c>
      <c r="I366" t="s">
        <v>160</v>
      </c>
      <c r="J366" t="s">
        <v>585</v>
      </c>
      <c r="K366" t="s">
        <v>164</v>
      </c>
      <c r="L366">
        <v>5500000534</v>
      </c>
      <c r="M366" t="s">
        <v>625</v>
      </c>
    </row>
    <row r="367" spans="3:13">
      <c r="C367">
        <v>2100300025</v>
      </c>
      <c r="D367">
        <v>5226000</v>
      </c>
      <c r="E367" t="s">
        <v>188</v>
      </c>
      <c r="F367">
        <v>5105010107</v>
      </c>
      <c r="G367" s="13">
        <v>10797.63</v>
      </c>
      <c r="I367" t="s">
        <v>160</v>
      </c>
      <c r="J367" t="s">
        <v>587</v>
      </c>
      <c r="K367" t="s">
        <v>164</v>
      </c>
      <c r="L367">
        <v>5500000611</v>
      </c>
      <c r="M367" t="s">
        <v>626</v>
      </c>
    </row>
    <row r="368" spans="3:13">
      <c r="C368">
        <v>2100300025</v>
      </c>
      <c r="D368">
        <v>5226000</v>
      </c>
      <c r="E368" t="s">
        <v>188</v>
      </c>
      <c r="F368">
        <v>5105010107</v>
      </c>
      <c r="G368" s="13">
        <v>10797.63</v>
      </c>
      <c r="I368" t="s">
        <v>160</v>
      </c>
      <c r="J368" t="s">
        <v>589</v>
      </c>
      <c r="K368" t="s">
        <v>164</v>
      </c>
      <c r="L368">
        <v>5500000688</v>
      </c>
      <c r="M368" t="s">
        <v>627</v>
      </c>
    </row>
    <row r="369" spans="3:13">
      <c r="C369">
        <v>2100300025</v>
      </c>
      <c r="D369">
        <v>5226000</v>
      </c>
      <c r="E369" t="s">
        <v>188</v>
      </c>
      <c r="F369">
        <v>5105010107</v>
      </c>
      <c r="G369" s="13">
        <v>10449.31</v>
      </c>
      <c r="I369" t="s">
        <v>160</v>
      </c>
      <c r="J369" t="s">
        <v>591</v>
      </c>
      <c r="K369" t="s">
        <v>164</v>
      </c>
      <c r="L369">
        <v>5500000765</v>
      </c>
      <c r="M369" t="s">
        <v>628</v>
      </c>
    </row>
    <row r="370" spans="3:13">
      <c r="C370">
        <v>2100300025</v>
      </c>
      <c r="D370">
        <v>5426000</v>
      </c>
      <c r="E370" t="s">
        <v>188</v>
      </c>
      <c r="F370">
        <v>5105010107</v>
      </c>
      <c r="G370" s="13">
        <v>3208.77</v>
      </c>
      <c r="I370" t="s">
        <v>160</v>
      </c>
      <c r="J370" t="s">
        <v>571</v>
      </c>
      <c r="K370" t="s">
        <v>164</v>
      </c>
      <c r="L370">
        <v>5500000009</v>
      </c>
      <c r="M370" t="s">
        <v>618</v>
      </c>
    </row>
    <row r="371" spans="3:13">
      <c r="C371">
        <v>2100300025</v>
      </c>
      <c r="D371">
        <v>5426000</v>
      </c>
      <c r="E371" t="s">
        <v>188</v>
      </c>
      <c r="F371">
        <v>5105010107</v>
      </c>
      <c r="G371" s="13">
        <v>1630.68</v>
      </c>
      <c r="I371" t="s">
        <v>160</v>
      </c>
      <c r="J371" t="s">
        <v>573</v>
      </c>
      <c r="K371" t="s">
        <v>164</v>
      </c>
      <c r="L371">
        <v>5500000082</v>
      </c>
      <c r="M371" t="s">
        <v>619</v>
      </c>
    </row>
    <row r="372" spans="3:13">
      <c r="C372">
        <v>2100300025</v>
      </c>
      <c r="D372">
        <v>5426000</v>
      </c>
      <c r="E372" t="s">
        <v>188</v>
      </c>
      <c r="F372">
        <v>5105010107</v>
      </c>
      <c r="G372" s="13">
        <v>1630.69</v>
      </c>
      <c r="I372" t="s">
        <v>160</v>
      </c>
      <c r="J372" t="s">
        <v>575</v>
      </c>
      <c r="K372" t="s">
        <v>164</v>
      </c>
      <c r="L372">
        <v>5500000155</v>
      </c>
      <c r="M372" t="s">
        <v>620</v>
      </c>
    </row>
    <row r="373" spans="3:13">
      <c r="C373">
        <v>2100300025</v>
      </c>
      <c r="D373">
        <v>5426000</v>
      </c>
      <c r="E373" t="s">
        <v>188</v>
      </c>
      <c r="F373">
        <v>5105010107</v>
      </c>
      <c r="G373" s="13">
        <v>1472.87</v>
      </c>
      <c r="I373" t="s">
        <v>160</v>
      </c>
      <c r="J373" t="s">
        <v>577</v>
      </c>
      <c r="K373" t="s">
        <v>164</v>
      </c>
      <c r="L373">
        <v>5500000230</v>
      </c>
      <c r="M373" t="s">
        <v>621</v>
      </c>
    </row>
    <row r="374" spans="3:13">
      <c r="C374">
        <v>2100300025</v>
      </c>
      <c r="D374">
        <v>5426000</v>
      </c>
      <c r="E374" t="s">
        <v>188</v>
      </c>
      <c r="F374">
        <v>5105010107</v>
      </c>
      <c r="G374" s="13">
        <v>1630.69</v>
      </c>
      <c r="I374" t="s">
        <v>160</v>
      </c>
      <c r="J374" t="s">
        <v>579</v>
      </c>
      <c r="K374" t="s">
        <v>164</v>
      </c>
      <c r="L374">
        <v>5500000305</v>
      </c>
      <c r="M374" t="s">
        <v>622</v>
      </c>
    </row>
    <row r="375" spans="3:13">
      <c r="C375">
        <v>2100300025</v>
      </c>
      <c r="D375">
        <v>5426000</v>
      </c>
      <c r="E375" t="s">
        <v>188</v>
      </c>
      <c r="F375">
        <v>5105010107</v>
      </c>
      <c r="G375" s="13">
        <v>1578.08</v>
      </c>
      <c r="I375" t="s">
        <v>160</v>
      </c>
      <c r="J375" t="s">
        <v>581</v>
      </c>
      <c r="K375" t="s">
        <v>164</v>
      </c>
      <c r="L375">
        <v>5500000381</v>
      </c>
      <c r="M375" t="s">
        <v>623</v>
      </c>
    </row>
    <row r="376" spans="3:13">
      <c r="C376">
        <v>2100300025</v>
      </c>
      <c r="D376">
        <v>5426000</v>
      </c>
      <c r="E376" t="s">
        <v>188</v>
      </c>
      <c r="F376">
        <v>5105010107</v>
      </c>
      <c r="G376" s="13">
        <v>1630.69</v>
      </c>
      <c r="I376" t="s">
        <v>160</v>
      </c>
      <c r="J376" t="s">
        <v>583</v>
      </c>
      <c r="K376" t="s">
        <v>164</v>
      </c>
      <c r="L376">
        <v>5500000457</v>
      </c>
      <c r="M376" t="s">
        <v>624</v>
      </c>
    </row>
    <row r="377" spans="3:13">
      <c r="C377">
        <v>2100300025</v>
      </c>
      <c r="D377">
        <v>5426000</v>
      </c>
      <c r="E377" t="s">
        <v>188</v>
      </c>
      <c r="F377">
        <v>5105010107</v>
      </c>
      <c r="G377" s="13">
        <v>1578.08</v>
      </c>
      <c r="I377" t="s">
        <v>160</v>
      </c>
      <c r="J377" t="s">
        <v>585</v>
      </c>
      <c r="K377" t="s">
        <v>164</v>
      </c>
      <c r="L377">
        <v>5500000534</v>
      </c>
      <c r="M377" t="s">
        <v>625</v>
      </c>
    </row>
    <row r="378" spans="3:13">
      <c r="C378">
        <v>2100300025</v>
      </c>
      <c r="D378">
        <v>5426000</v>
      </c>
      <c r="E378" t="s">
        <v>188</v>
      </c>
      <c r="F378">
        <v>5105010107</v>
      </c>
      <c r="G378" s="13">
        <v>1630.68</v>
      </c>
      <c r="I378" t="s">
        <v>160</v>
      </c>
      <c r="J378" t="s">
        <v>587</v>
      </c>
      <c r="K378" t="s">
        <v>164</v>
      </c>
      <c r="L378">
        <v>5500000611</v>
      </c>
      <c r="M378" t="s">
        <v>626</v>
      </c>
    </row>
    <row r="379" spans="3:13">
      <c r="C379">
        <v>2100300025</v>
      </c>
      <c r="D379">
        <v>5426000</v>
      </c>
      <c r="E379" t="s">
        <v>188</v>
      </c>
      <c r="F379">
        <v>5105010107</v>
      </c>
      <c r="G379" s="13">
        <v>1630.69</v>
      </c>
      <c r="I379" t="s">
        <v>160</v>
      </c>
      <c r="J379" t="s">
        <v>589</v>
      </c>
      <c r="K379" t="s">
        <v>164</v>
      </c>
      <c r="L379">
        <v>5500000688</v>
      </c>
      <c r="M379" t="s">
        <v>627</v>
      </c>
    </row>
    <row r="380" spans="3:13">
      <c r="C380">
        <v>2100300025</v>
      </c>
      <c r="D380">
        <v>5426000</v>
      </c>
      <c r="E380" t="s">
        <v>188</v>
      </c>
      <c r="F380">
        <v>5105010107</v>
      </c>
      <c r="G380" s="13">
        <v>1578.08</v>
      </c>
      <c r="I380" t="s">
        <v>160</v>
      </c>
      <c r="J380" t="s">
        <v>591</v>
      </c>
      <c r="K380" t="s">
        <v>164</v>
      </c>
      <c r="L380">
        <v>5500000765</v>
      </c>
      <c r="M380" t="s">
        <v>628</v>
      </c>
    </row>
    <row r="381" spans="3:13">
      <c r="C381">
        <v>2100300025</v>
      </c>
      <c r="D381">
        <v>5526000</v>
      </c>
      <c r="E381" t="s">
        <v>188</v>
      </c>
      <c r="F381">
        <v>5105010107</v>
      </c>
      <c r="G381" s="13">
        <v>21439.32</v>
      </c>
      <c r="I381" t="s">
        <v>160</v>
      </c>
      <c r="J381" t="s">
        <v>571</v>
      </c>
      <c r="K381" t="s">
        <v>164</v>
      </c>
      <c r="L381">
        <v>5500000009</v>
      </c>
      <c r="M381" t="s">
        <v>618</v>
      </c>
    </row>
    <row r="382" spans="3:13">
      <c r="C382">
        <v>2100300025</v>
      </c>
      <c r="D382">
        <v>5526000</v>
      </c>
      <c r="E382" t="s">
        <v>188</v>
      </c>
      <c r="F382">
        <v>5105010107</v>
      </c>
      <c r="G382" s="13">
        <v>10895.38</v>
      </c>
      <c r="I382" t="s">
        <v>160</v>
      </c>
      <c r="J382" t="s">
        <v>573</v>
      </c>
      <c r="K382" t="s">
        <v>164</v>
      </c>
      <c r="L382">
        <v>5500000082</v>
      </c>
      <c r="M382" t="s">
        <v>619</v>
      </c>
    </row>
    <row r="383" spans="3:13">
      <c r="C383">
        <v>2100300025</v>
      </c>
      <c r="D383">
        <v>5526000</v>
      </c>
      <c r="E383" t="s">
        <v>188</v>
      </c>
      <c r="F383">
        <v>5105010107</v>
      </c>
      <c r="G383" s="13">
        <v>10895.38</v>
      </c>
      <c r="I383" t="s">
        <v>160</v>
      </c>
      <c r="J383" t="s">
        <v>575</v>
      </c>
      <c r="K383" t="s">
        <v>164</v>
      </c>
      <c r="L383">
        <v>5500000155</v>
      </c>
      <c r="M383" t="s">
        <v>620</v>
      </c>
    </row>
    <row r="384" spans="3:13">
      <c r="C384">
        <v>2100300025</v>
      </c>
      <c r="D384">
        <v>5526000</v>
      </c>
      <c r="E384" t="s">
        <v>188</v>
      </c>
      <c r="F384">
        <v>5105010107</v>
      </c>
      <c r="G384" s="13">
        <v>9841.01</v>
      </c>
      <c r="I384" t="s">
        <v>160</v>
      </c>
      <c r="J384" t="s">
        <v>577</v>
      </c>
      <c r="K384" t="s">
        <v>164</v>
      </c>
      <c r="L384">
        <v>5500000230</v>
      </c>
      <c r="M384" t="s">
        <v>621</v>
      </c>
    </row>
    <row r="385" spans="3:13">
      <c r="C385">
        <v>2100300025</v>
      </c>
      <c r="D385">
        <v>5526000</v>
      </c>
      <c r="E385" t="s">
        <v>188</v>
      </c>
      <c r="F385">
        <v>5105010107</v>
      </c>
      <c r="G385" s="13">
        <v>10895.38</v>
      </c>
      <c r="I385" t="s">
        <v>160</v>
      </c>
      <c r="J385" t="s">
        <v>579</v>
      </c>
      <c r="K385" t="s">
        <v>164</v>
      </c>
      <c r="L385">
        <v>5500000306</v>
      </c>
      <c r="M385" t="s">
        <v>629</v>
      </c>
    </row>
    <row r="386" spans="3:13">
      <c r="C386">
        <v>2100300025</v>
      </c>
      <c r="D386">
        <v>5526000</v>
      </c>
      <c r="E386" t="s">
        <v>188</v>
      </c>
      <c r="F386">
        <v>5105010107</v>
      </c>
      <c r="G386" s="13">
        <v>10543.92</v>
      </c>
      <c r="I386" t="s">
        <v>160</v>
      </c>
      <c r="J386" t="s">
        <v>581</v>
      </c>
      <c r="K386" t="s">
        <v>164</v>
      </c>
      <c r="L386">
        <v>5500000381</v>
      </c>
      <c r="M386" t="s">
        <v>623</v>
      </c>
    </row>
    <row r="387" spans="3:13">
      <c r="C387">
        <v>2100300025</v>
      </c>
      <c r="D387">
        <v>5526000</v>
      </c>
      <c r="E387" t="s">
        <v>188</v>
      </c>
      <c r="F387">
        <v>5105010107</v>
      </c>
      <c r="G387" s="13">
        <v>10895.4</v>
      </c>
      <c r="I387" t="s">
        <v>160</v>
      </c>
      <c r="J387" t="s">
        <v>583</v>
      </c>
      <c r="K387" t="s">
        <v>164</v>
      </c>
      <c r="L387">
        <v>5500000457</v>
      </c>
      <c r="M387" t="s">
        <v>624</v>
      </c>
    </row>
    <row r="388" spans="3:13">
      <c r="C388">
        <v>2100300025</v>
      </c>
      <c r="D388">
        <v>5526000</v>
      </c>
      <c r="E388" t="s">
        <v>188</v>
      </c>
      <c r="F388">
        <v>5105010107</v>
      </c>
      <c r="G388" s="13">
        <v>10543.92</v>
      </c>
      <c r="I388" t="s">
        <v>160</v>
      </c>
      <c r="J388" t="s">
        <v>585</v>
      </c>
      <c r="K388" t="s">
        <v>164</v>
      </c>
      <c r="L388">
        <v>5500000534</v>
      </c>
      <c r="M388" t="s">
        <v>625</v>
      </c>
    </row>
    <row r="389" spans="3:13">
      <c r="C389">
        <v>2100300025</v>
      </c>
      <c r="D389">
        <v>5526000</v>
      </c>
      <c r="E389" t="s">
        <v>188</v>
      </c>
      <c r="F389">
        <v>5105010107</v>
      </c>
      <c r="G389" s="13">
        <v>10895.38</v>
      </c>
      <c r="I389" t="s">
        <v>160</v>
      </c>
      <c r="J389" t="s">
        <v>587</v>
      </c>
      <c r="K389" t="s">
        <v>164</v>
      </c>
      <c r="L389">
        <v>5500000611</v>
      </c>
      <c r="M389" t="s">
        <v>626</v>
      </c>
    </row>
    <row r="390" spans="3:13">
      <c r="C390">
        <v>2100300025</v>
      </c>
      <c r="D390">
        <v>5526000</v>
      </c>
      <c r="E390" t="s">
        <v>188</v>
      </c>
      <c r="F390">
        <v>5105010107</v>
      </c>
      <c r="G390" s="13">
        <v>10895.4</v>
      </c>
      <c r="I390" t="s">
        <v>160</v>
      </c>
      <c r="J390" t="s">
        <v>589</v>
      </c>
      <c r="K390" t="s">
        <v>164</v>
      </c>
      <c r="L390">
        <v>5500000688</v>
      </c>
      <c r="M390" t="s">
        <v>627</v>
      </c>
    </row>
    <row r="391" spans="3:13">
      <c r="C391">
        <v>2100300025</v>
      </c>
      <c r="D391">
        <v>5526000</v>
      </c>
      <c r="E391" t="s">
        <v>188</v>
      </c>
      <c r="F391">
        <v>5105010107</v>
      </c>
      <c r="G391" s="13">
        <v>10543.92</v>
      </c>
      <c r="I391" t="s">
        <v>160</v>
      </c>
      <c r="J391" t="s">
        <v>591</v>
      </c>
      <c r="K391" t="s">
        <v>164</v>
      </c>
      <c r="L391">
        <v>5500000765</v>
      </c>
      <c r="M391" t="s">
        <v>628</v>
      </c>
    </row>
    <row r="392" spans="3:13">
      <c r="C392">
        <v>2100300025</v>
      </c>
      <c r="D392">
        <v>5826000</v>
      </c>
      <c r="E392" t="s">
        <v>188</v>
      </c>
      <c r="F392">
        <v>5105010107</v>
      </c>
      <c r="G392" s="13">
        <v>3609.86</v>
      </c>
      <c r="I392" t="s">
        <v>160</v>
      </c>
      <c r="J392" t="s">
        <v>571</v>
      </c>
      <c r="K392" t="s">
        <v>164</v>
      </c>
      <c r="L392">
        <v>5500000009</v>
      </c>
      <c r="M392" t="s">
        <v>618</v>
      </c>
    </row>
    <row r="393" spans="3:13">
      <c r="C393">
        <v>2100300025</v>
      </c>
      <c r="D393">
        <v>5826000</v>
      </c>
      <c r="E393" t="s">
        <v>188</v>
      </c>
      <c r="F393">
        <v>5105010107</v>
      </c>
      <c r="G393" s="13">
        <v>1834.52</v>
      </c>
      <c r="I393" t="s">
        <v>160</v>
      </c>
      <c r="J393" t="s">
        <v>573</v>
      </c>
      <c r="K393" t="s">
        <v>164</v>
      </c>
      <c r="L393">
        <v>5500000082</v>
      </c>
      <c r="M393" t="s">
        <v>619</v>
      </c>
    </row>
    <row r="394" spans="3:13">
      <c r="C394">
        <v>2100300025</v>
      </c>
      <c r="D394">
        <v>5826000</v>
      </c>
      <c r="E394" t="s">
        <v>188</v>
      </c>
      <c r="F394">
        <v>5105010107</v>
      </c>
      <c r="G394" s="13">
        <v>1834.52</v>
      </c>
      <c r="I394" t="s">
        <v>160</v>
      </c>
      <c r="J394" t="s">
        <v>575</v>
      </c>
      <c r="K394" t="s">
        <v>164</v>
      </c>
      <c r="L394">
        <v>5500000155</v>
      </c>
      <c r="M394" t="s">
        <v>620</v>
      </c>
    </row>
    <row r="395" spans="3:13">
      <c r="C395">
        <v>2100300025</v>
      </c>
      <c r="D395">
        <v>5826000</v>
      </c>
      <c r="E395" t="s">
        <v>188</v>
      </c>
      <c r="F395">
        <v>5105010107</v>
      </c>
      <c r="G395" s="13">
        <v>1656.99</v>
      </c>
      <c r="I395" t="s">
        <v>160</v>
      </c>
      <c r="J395" t="s">
        <v>577</v>
      </c>
      <c r="K395" t="s">
        <v>164</v>
      </c>
      <c r="L395">
        <v>5500000230</v>
      </c>
      <c r="M395" t="s">
        <v>621</v>
      </c>
    </row>
    <row r="396" spans="3:13">
      <c r="C396">
        <v>2100300025</v>
      </c>
      <c r="D396">
        <v>5826000</v>
      </c>
      <c r="E396" t="s">
        <v>188</v>
      </c>
      <c r="F396">
        <v>5105010107</v>
      </c>
      <c r="G396" s="13">
        <v>1834.52</v>
      </c>
      <c r="I396" t="s">
        <v>160</v>
      </c>
      <c r="J396" t="s">
        <v>579</v>
      </c>
      <c r="K396" t="s">
        <v>164</v>
      </c>
      <c r="L396">
        <v>5500000306</v>
      </c>
      <c r="M396" t="s">
        <v>629</v>
      </c>
    </row>
    <row r="397" spans="3:13">
      <c r="C397">
        <v>2100300025</v>
      </c>
      <c r="D397">
        <v>5826000</v>
      </c>
      <c r="E397" t="s">
        <v>188</v>
      </c>
      <c r="F397">
        <v>5105010107</v>
      </c>
      <c r="G397" s="13">
        <v>1775.34</v>
      </c>
      <c r="I397" t="s">
        <v>160</v>
      </c>
      <c r="J397" t="s">
        <v>581</v>
      </c>
      <c r="K397" t="s">
        <v>164</v>
      </c>
      <c r="L397">
        <v>5500000381</v>
      </c>
      <c r="M397" t="s">
        <v>623</v>
      </c>
    </row>
    <row r="398" spans="3:13">
      <c r="C398">
        <v>2100300025</v>
      </c>
      <c r="D398">
        <v>5826000</v>
      </c>
      <c r="E398" t="s">
        <v>188</v>
      </c>
      <c r="F398">
        <v>5105010107</v>
      </c>
      <c r="G398" s="13">
        <v>1834.52</v>
      </c>
      <c r="I398" t="s">
        <v>160</v>
      </c>
      <c r="J398" t="s">
        <v>583</v>
      </c>
      <c r="K398" t="s">
        <v>164</v>
      </c>
      <c r="L398">
        <v>5500000457</v>
      </c>
      <c r="M398" t="s">
        <v>624</v>
      </c>
    </row>
    <row r="399" spans="3:13">
      <c r="C399">
        <v>2100300025</v>
      </c>
      <c r="D399">
        <v>5826000</v>
      </c>
      <c r="E399" t="s">
        <v>188</v>
      </c>
      <c r="F399">
        <v>5105010107</v>
      </c>
      <c r="G399" s="13">
        <v>1775.35</v>
      </c>
      <c r="I399" t="s">
        <v>160</v>
      </c>
      <c r="J399" t="s">
        <v>585</v>
      </c>
      <c r="K399" t="s">
        <v>164</v>
      </c>
      <c r="L399">
        <v>5500000534</v>
      </c>
      <c r="M399" t="s">
        <v>625</v>
      </c>
    </row>
    <row r="400" spans="3:13">
      <c r="C400">
        <v>2100300025</v>
      </c>
      <c r="D400">
        <v>5826000</v>
      </c>
      <c r="E400" t="s">
        <v>188</v>
      </c>
      <c r="F400">
        <v>5105010107</v>
      </c>
      <c r="G400" s="13">
        <v>1834.52</v>
      </c>
      <c r="I400" t="s">
        <v>160</v>
      </c>
      <c r="J400" t="s">
        <v>587</v>
      </c>
      <c r="K400" t="s">
        <v>164</v>
      </c>
      <c r="L400">
        <v>5500000611</v>
      </c>
      <c r="M400" t="s">
        <v>626</v>
      </c>
    </row>
    <row r="401" spans="3:13">
      <c r="C401">
        <v>2100300025</v>
      </c>
      <c r="D401">
        <v>5826000</v>
      </c>
      <c r="E401" t="s">
        <v>188</v>
      </c>
      <c r="F401">
        <v>5105010107</v>
      </c>
      <c r="G401" s="13">
        <v>1834.52</v>
      </c>
      <c r="I401" t="s">
        <v>160</v>
      </c>
      <c r="J401" t="s">
        <v>589</v>
      </c>
      <c r="K401" t="s">
        <v>164</v>
      </c>
      <c r="L401">
        <v>5500000688</v>
      </c>
      <c r="M401" t="s">
        <v>627</v>
      </c>
    </row>
    <row r="402" spans="3:13">
      <c r="C402">
        <v>2100300025</v>
      </c>
      <c r="D402">
        <v>5826000</v>
      </c>
      <c r="E402" t="s">
        <v>188</v>
      </c>
      <c r="F402">
        <v>5105010107</v>
      </c>
      <c r="G402" s="13">
        <v>1775.34</v>
      </c>
      <c r="I402" t="s">
        <v>160</v>
      </c>
      <c r="J402" t="s">
        <v>591</v>
      </c>
      <c r="K402" t="s">
        <v>164</v>
      </c>
      <c r="L402">
        <v>5500000765</v>
      </c>
      <c r="M402" t="s">
        <v>628</v>
      </c>
    </row>
    <row r="403" spans="3:13">
      <c r="C403">
        <v>2100300025</v>
      </c>
      <c r="D403">
        <v>5831000</v>
      </c>
      <c r="E403" t="s">
        <v>188</v>
      </c>
      <c r="F403">
        <v>5105010107</v>
      </c>
      <c r="G403" s="13">
        <v>11622.92</v>
      </c>
      <c r="I403" t="s">
        <v>160</v>
      </c>
      <c r="J403" t="s">
        <v>571</v>
      </c>
      <c r="K403" t="s">
        <v>164</v>
      </c>
      <c r="L403">
        <v>5500000009</v>
      </c>
      <c r="M403" t="s">
        <v>618</v>
      </c>
    </row>
    <row r="404" spans="3:13">
      <c r="C404">
        <v>2100300025</v>
      </c>
      <c r="D404">
        <v>5831000</v>
      </c>
      <c r="E404" t="s">
        <v>188</v>
      </c>
      <c r="F404">
        <v>5105010107</v>
      </c>
      <c r="G404" s="13">
        <v>5906.73</v>
      </c>
      <c r="I404" t="s">
        <v>160</v>
      </c>
      <c r="J404" t="s">
        <v>573</v>
      </c>
      <c r="K404" t="s">
        <v>164</v>
      </c>
      <c r="L404">
        <v>5500000082</v>
      </c>
      <c r="M404" t="s">
        <v>619</v>
      </c>
    </row>
    <row r="405" spans="3:13">
      <c r="C405">
        <v>2100300025</v>
      </c>
      <c r="D405">
        <v>5831000</v>
      </c>
      <c r="E405" t="s">
        <v>188</v>
      </c>
      <c r="F405">
        <v>5105010107</v>
      </c>
      <c r="G405" s="13">
        <v>5906.72</v>
      </c>
      <c r="I405" t="s">
        <v>160</v>
      </c>
      <c r="J405" t="s">
        <v>575</v>
      </c>
      <c r="K405" t="s">
        <v>164</v>
      </c>
      <c r="L405">
        <v>5500000155</v>
      </c>
      <c r="M405" t="s">
        <v>620</v>
      </c>
    </row>
    <row r="406" spans="3:13">
      <c r="C406">
        <v>2100300025</v>
      </c>
      <c r="D406">
        <v>5831000</v>
      </c>
      <c r="E406" t="s">
        <v>188</v>
      </c>
      <c r="F406">
        <v>5105010107</v>
      </c>
      <c r="G406" s="13">
        <v>5335.12</v>
      </c>
      <c r="I406" t="s">
        <v>160</v>
      </c>
      <c r="J406" t="s">
        <v>577</v>
      </c>
      <c r="K406" t="s">
        <v>164</v>
      </c>
      <c r="L406">
        <v>5500000230</v>
      </c>
      <c r="M406" t="s">
        <v>621</v>
      </c>
    </row>
    <row r="407" spans="3:13">
      <c r="C407">
        <v>2100300025</v>
      </c>
      <c r="D407">
        <v>5831000</v>
      </c>
      <c r="E407" t="s">
        <v>188</v>
      </c>
      <c r="F407">
        <v>5105010107</v>
      </c>
      <c r="G407" s="13">
        <v>5906.73</v>
      </c>
      <c r="I407" t="s">
        <v>160</v>
      </c>
      <c r="J407" t="s">
        <v>579</v>
      </c>
      <c r="K407" t="s">
        <v>164</v>
      </c>
      <c r="L407">
        <v>5500000306</v>
      </c>
      <c r="M407" t="s">
        <v>629</v>
      </c>
    </row>
    <row r="408" spans="3:13">
      <c r="C408">
        <v>2100300025</v>
      </c>
      <c r="D408">
        <v>5831000</v>
      </c>
      <c r="E408" t="s">
        <v>188</v>
      </c>
      <c r="F408">
        <v>5105010107</v>
      </c>
      <c r="G408" s="13">
        <v>5716.19</v>
      </c>
      <c r="I408" t="s">
        <v>160</v>
      </c>
      <c r="J408" t="s">
        <v>581</v>
      </c>
      <c r="K408" t="s">
        <v>164</v>
      </c>
      <c r="L408">
        <v>5500000381</v>
      </c>
      <c r="M408" t="s">
        <v>623</v>
      </c>
    </row>
    <row r="409" spans="3:13">
      <c r="C409">
        <v>2100300025</v>
      </c>
      <c r="D409">
        <v>5831000</v>
      </c>
      <c r="E409" t="s">
        <v>188</v>
      </c>
      <c r="F409">
        <v>5105010107</v>
      </c>
      <c r="G409" s="13">
        <v>5906.72</v>
      </c>
      <c r="I409" t="s">
        <v>160</v>
      </c>
      <c r="J409" t="s">
        <v>583</v>
      </c>
      <c r="K409" t="s">
        <v>164</v>
      </c>
      <c r="L409">
        <v>5500000457</v>
      </c>
      <c r="M409" t="s">
        <v>624</v>
      </c>
    </row>
    <row r="410" spans="3:13">
      <c r="C410">
        <v>2100300025</v>
      </c>
      <c r="D410">
        <v>5831000</v>
      </c>
      <c r="E410" t="s">
        <v>188</v>
      </c>
      <c r="F410">
        <v>5105010107</v>
      </c>
      <c r="G410" s="13">
        <v>5716.19</v>
      </c>
      <c r="I410" t="s">
        <v>160</v>
      </c>
      <c r="J410" t="s">
        <v>585</v>
      </c>
      <c r="K410" t="s">
        <v>164</v>
      </c>
      <c r="L410">
        <v>5500000534</v>
      </c>
      <c r="M410" t="s">
        <v>625</v>
      </c>
    </row>
    <row r="411" spans="3:13">
      <c r="C411">
        <v>2100300025</v>
      </c>
      <c r="D411">
        <v>5831000</v>
      </c>
      <c r="E411" t="s">
        <v>188</v>
      </c>
      <c r="F411">
        <v>5105010107</v>
      </c>
      <c r="G411" s="13">
        <v>5906.73</v>
      </c>
      <c r="I411" t="s">
        <v>160</v>
      </c>
      <c r="J411" t="s">
        <v>587</v>
      </c>
      <c r="K411" t="s">
        <v>164</v>
      </c>
      <c r="L411">
        <v>5500000611</v>
      </c>
      <c r="M411" t="s">
        <v>626</v>
      </c>
    </row>
    <row r="412" spans="3:13">
      <c r="C412">
        <v>2100300025</v>
      </c>
      <c r="D412">
        <v>5831000</v>
      </c>
      <c r="E412" t="s">
        <v>188</v>
      </c>
      <c r="F412">
        <v>5105010107</v>
      </c>
      <c r="G412" s="13">
        <v>5906.73</v>
      </c>
      <c r="I412" t="s">
        <v>160</v>
      </c>
      <c r="J412" t="s">
        <v>589</v>
      </c>
      <c r="K412" t="s">
        <v>164</v>
      </c>
      <c r="L412">
        <v>5500000688</v>
      </c>
      <c r="M412" t="s">
        <v>627</v>
      </c>
    </row>
    <row r="413" spans="3:13">
      <c r="C413">
        <v>2100300025</v>
      </c>
      <c r="D413">
        <v>5831000</v>
      </c>
      <c r="E413" t="s">
        <v>188</v>
      </c>
      <c r="F413">
        <v>5105010107</v>
      </c>
      <c r="G413" s="13">
        <v>5716.19</v>
      </c>
      <c r="I413" t="s">
        <v>160</v>
      </c>
      <c r="J413" t="s">
        <v>591</v>
      </c>
      <c r="K413" t="s">
        <v>164</v>
      </c>
      <c r="L413">
        <v>5500000765</v>
      </c>
      <c r="M413" t="s">
        <v>628</v>
      </c>
    </row>
    <row r="414" spans="3:13">
      <c r="C414">
        <v>2100300025</v>
      </c>
      <c r="D414">
        <v>5926000</v>
      </c>
      <c r="E414" t="s">
        <v>188</v>
      </c>
      <c r="F414">
        <v>5105010107</v>
      </c>
      <c r="G414" s="13">
        <v>10117.290000000001</v>
      </c>
      <c r="I414" t="s">
        <v>160</v>
      </c>
      <c r="J414" t="s">
        <v>571</v>
      </c>
      <c r="K414" t="s">
        <v>164</v>
      </c>
      <c r="L414">
        <v>5500000009</v>
      </c>
      <c r="M414" t="s">
        <v>618</v>
      </c>
    </row>
    <row r="415" spans="3:13">
      <c r="C415">
        <v>2100300025</v>
      </c>
      <c r="D415">
        <v>5926000</v>
      </c>
      <c r="E415" t="s">
        <v>188</v>
      </c>
      <c r="F415">
        <v>5105010107</v>
      </c>
      <c r="G415" s="13">
        <v>5141.58</v>
      </c>
      <c r="I415" t="s">
        <v>160</v>
      </c>
      <c r="J415" t="s">
        <v>573</v>
      </c>
      <c r="K415" t="s">
        <v>164</v>
      </c>
      <c r="L415">
        <v>5500000082</v>
      </c>
      <c r="M415" t="s">
        <v>619</v>
      </c>
    </row>
    <row r="416" spans="3:13">
      <c r="C416">
        <v>2100300025</v>
      </c>
      <c r="D416">
        <v>5926000</v>
      </c>
      <c r="E416" t="s">
        <v>188</v>
      </c>
      <c r="F416">
        <v>5105010107</v>
      </c>
      <c r="G416" s="13">
        <v>5141.58</v>
      </c>
      <c r="I416" t="s">
        <v>160</v>
      </c>
      <c r="J416" t="s">
        <v>575</v>
      </c>
      <c r="K416" t="s">
        <v>164</v>
      </c>
      <c r="L416">
        <v>5500000155</v>
      </c>
      <c r="M416" t="s">
        <v>620</v>
      </c>
    </row>
    <row r="417" spans="3:13">
      <c r="C417">
        <v>2100300025</v>
      </c>
      <c r="D417">
        <v>5926000</v>
      </c>
      <c r="E417" t="s">
        <v>188</v>
      </c>
      <c r="F417">
        <v>5105010107</v>
      </c>
      <c r="G417" s="13">
        <v>4644</v>
      </c>
      <c r="I417" t="s">
        <v>160</v>
      </c>
      <c r="J417" t="s">
        <v>577</v>
      </c>
      <c r="K417" t="s">
        <v>164</v>
      </c>
      <c r="L417">
        <v>5500000231</v>
      </c>
      <c r="M417" t="s">
        <v>630</v>
      </c>
    </row>
    <row r="418" spans="3:13">
      <c r="C418">
        <v>2100300025</v>
      </c>
      <c r="D418">
        <v>5926000</v>
      </c>
      <c r="E418" t="s">
        <v>188</v>
      </c>
      <c r="F418">
        <v>5105010107</v>
      </c>
      <c r="G418" s="13">
        <v>5141.58</v>
      </c>
      <c r="I418" t="s">
        <v>160</v>
      </c>
      <c r="J418" t="s">
        <v>579</v>
      </c>
      <c r="K418" t="s">
        <v>164</v>
      </c>
      <c r="L418">
        <v>5500000306</v>
      </c>
      <c r="M418" t="s">
        <v>629</v>
      </c>
    </row>
    <row r="419" spans="3:13">
      <c r="C419">
        <v>2100300025</v>
      </c>
      <c r="D419">
        <v>5926000</v>
      </c>
      <c r="E419" t="s">
        <v>188</v>
      </c>
      <c r="F419">
        <v>5105010107</v>
      </c>
      <c r="G419" s="13">
        <v>4975.72</v>
      </c>
      <c r="I419" t="s">
        <v>160</v>
      </c>
      <c r="J419" t="s">
        <v>581</v>
      </c>
      <c r="K419" t="s">
        <v>164</v>
      </c>
      <c r="L419">
        <v>5500000381</v>
      </c>
      <c r="M419" t="s">
        <v>623</v>
      </c>
    </row>
    <row r="420" spans="3:13">
      <c r="C420">
        <v>2100300025</v>
      </c>
      <c r="D420">
        <v>5926000</v>
      </c>
      <c r="E420" t="s">
        <v>188</v>
      </c>
      <c r="F420">
        <v>5105010107</v>
      </c>
      <c r="G420" s="13">
        <v>5141.57</v>
      </c>
      <c r="I420" t="s">
        <v>160</v>
      </c>
      <c r="J420" t="s">
        <v>583</v>
      </c>
      <c r="K420" t="s">
        <v>164</v>
      </c>
      <c r="L420">
        <v>5500000457</v>
      </c>
      <c r="M420" t="s">
        <v>624</v>
      </c>
    </row>
    <row r="421" spans="3:13">
      <c r="C421">
        <v>2100300025</v>
      </c>
      <c r="D421">
        <v>5926000</v>
      </c>
      <c r="E421" t="s">
        <v>188</v>
      </c>
      <c r="F421">
        <v>5105010107</v>
      </c>
      <c r="G421" s="13">
        <v>4975.7299999999996</v>
      </c>
      <c r="I421" t="s">
        <v>160</v>
      </c>
      <c r="J421" t="s">
        <v>585</v>
      </c>
      <c r="K421" t="s">
        <v>164</v>
      </c>
      <c r="L421">
        <v>5500000534</v>
      </c>
      <c r="M421" t="s">
        <v>625</v>
      </c>
    </row>
    <row r="422" spans="3:13">
      <c r="C422">
        <v>2100300025</v>
      </c>
      <c r="D422">
        <v>5926000</v>
      </c>
      <c r="E422" t="s">
        <v>188</v>
      </c>
      <c r="F422">
        <v>5105010107</v>
      </c>
      <c r="G422" s="13">
        <v>5141.58</v>
      </c>
      <c r="I422" t="s">
        <v>160</v>
      </c>
      <c r="J422" t="s">
        <v>587</v>
      </c>
      <c r="K422" t="s">
        <v>164</v>
      </c>
      <c r="L422">
        <v>5500000611</v>
      </c>
      <c r="M422" t="s">
        <v>626</v>
      </c>
    </row>
    <row r="423" spans="3:13">
      <c r="C423">
        <v>2100300025</v>
      </c>
      <c r="D423">
        <v>5926000</v>
      </c>
      <c r="E423" t="s">
        <v>188</v>
      </c>
      <c r="F423">
        <v>5105010107</v>
      </c>
      <c r="G423" s="13">
        <v>5141.57</v>
      </c>
      <c r="I423" t="s">
        <v>160</v>
      </c>
      <c r="J423" t="s">
        <v>589</v>
      </c>
      <c r="K423" t="s">
        <v>164</v>
      </c>
      <c r="L423">
        <v>5500000688</v>
      </c>
      <c r="M423" t="s">
        <v>627</v>
      </c>
    </row>
    <row r="424" spans="3:13">
      <c r="C424">
        <v>2100300025</v>
      </c>
      <c r="D424">
        <v>5926000</v>
      </c>
      <c r="E424" t="s">
        <v>188</v>
      </c>
      <c r="F424">
        <v>5105010107</v>
      </c>
      <c r="G424" s="13">
        <v>4975.72</v>
      </c>
      <c r="I424" t="s">
        <v>160</v>
      </c>
      <c r="J424" t="s">
        <v>591</v>
      </c>
      <c r="K424" t="s">
        <v>164</v>
      </c>
      <c r="L424">
        <v>5500000765</v>
      </c>
      <c r="M424" t="s">
        <v>628</v>
      </c>
    </row>
    <row r="425" spans="3:13">
      <c r="C425">
        <v>2100300025</v>
      </c>
      <c r="D425">
        <v>6126000</v>
      </c>
      <c r="E425" t="s">
        <v>188</v>
      </c>
      <c r="F425">
        <v>5105010107</v>
      </c>
      <c r="G425">
        <v>992.21</v>
      </c>
      <c r="I425" t="s">
        <v>160</v>
      </c>
      <c r="J425" t="s">
        <v>571</v>
      </c>
      <c r="K425" t="s">
        <v>164</v>
      </c>
      <c r="L425">
        <v>5500000009</v>
      </c>
      <c r="M425" t="s">
        <v>618</v>
      </c>
    </row>
    <row r="426" spans="3:13">
      <c r="C426">
        <v>2100300025</v>
      </c>
      <c r="D426">
        <v>6126000</v>
      </c>
      <c r="E426" t="s">
        <v>188</v>
      </c>
      <c r="F426">
        <v>5105010107</v>
      </c>
      <c r="G426">
        <v>504.24</v>
      </c>
      <c r="I426" t="s">
        <v>160</v>
      </c>
      <c r="J426" t="s">
        <v>573</v>
      </c>
      <c r="K426" t="s">
        <v>164</v>
      </c>
      <c r="L426">
        <v>5500000082</v>
      </c>
      <c r="M426" t="s">
        <v>619</v>
      </c>
    </row>
    <row r="427" spans="3:13">
      <c r="C427">
        <v>2100300025</v>
      </c>
      <c r="D427">
        <v>6126000</v>
      </c>
      <c r="E427" t="s">
        <v>188</v>
      </c>
      <c r="F427">
        <v>5105010107</v>
      </c>
      <c r="G427">
        <v>504.24</v>
      </c>
      <c r="I427" t="s">
        <v>160</v>
      </c>
      <c r="J427" t="s">
        <v>575</v>
      </c>
      <c r="K427" t="s">
        <v>164</v>
      </c>
      <c r="L427">
        <v>5500000155</v>
      </c>
      <c r="M427" t="s">
        <v>620</v>
      </c>
    </row>
    <row r="428" spans="3:13">
      <c r="C428">
        <v>2100300025</v>
      </c>
      <c r="D428">
        <v>6126000</v>
      </c>
      <c r="E428" t="s">
        <v>188</v>
      </c>
      <c r="F428">
        <v>5105010107</v>
      </c>
      <c r="G428">
        <v>455.44</v>
      </c>
      <c r="I428" t="s">
        <v>160</v>
      </c>
      <c r="J428" t="s">
        <v>577</v>
      </c>
      <c r="K428" t="s">
        <v>164</v>
      </c>
      <c r="L428">
        <v>5500000231</v>
      </c>
      <c r="M428" t="s">
        <v>630</v>
      </c>
    </row>
    <row r="429" spans="3:13">
      <c r="C429">
        <v>2100300025</v>
      </c>
      <c r="D429">
        <v>6126000</v>
      </c>
      <c r="E429" t="s">
        <v>188</v>
      </c>
      <c r="F429">
        <v>5105010107</v>
      </c>
      <c r="G429">
        <v>504.24</v>
      </c>
      <c r="I429" t="s">
        <v>160</v>
      </c>
      <c r="J429" t="s">
        <v>579</v>
      </c>
      <c r="K429" t="s">
        <v>164</v>
      </c>
      <c r="L429">
        <v>5500000306</v>
      </c>
      <c r="M429" t="s">
        <v>629</v>
      </c>
    </row>
    <row r="430" spans="3:13">
      <c r="C430">
        <v>2100300025</v>
      </c>
      <c r="D430">
        <v>6126000</v>
      </c>
      <c r="E430" t="s">
        <v>188</v>
      </c>
      <c r="F430">
        <v>5105010107</v>
      </c>
      <c r="G430">
        <v>487.97</v>
      </c>
      <c r="I430" t="s">
        <v>160</v>
      </c>
      <c r="J430" t="s">
        <v>581</v>
      </c>
      <c r="K430" t="s">
        <v>164</v>
      </c>
      <c r="L430">
        <v>5500000381</v>
      </c>
      <c r="M430" t="s">
        <v>623</v>
      </c>
    </row>
    <row r="431" spans="3:13">
      <c r="C431">
        <v>2100300025</v>
      </c>
      <c r="D431">
        <v>6126000</v>
      </c>
      <c r="E431" t="s">
        <v>188</v>
      </c>
      <c r="F431">
        <v>5105010107</v>
      </c>
      <c r="G431">
        <v>504.24</v>
      </c>
      <c r="I431" t="s">
        <v>160</v>
      </c>
      <c r="J431" t="s">
        <v>583</v>
      </c>
      <c r="K431" t="s">
        <v>164</v>
      </c>
      <c r="L431">
        <v>5500000457</v>
      </c>
      <c r="M431" t="s">
        <v>624</v>
      </c>
    </row>
    <row r="432" spans="3:13">
      <c r="C432">
        <v>2100300025</v>
      </c>
      <c r="D432">
        <v>6126000</v>
      </c>
      <c r="E432" t="s">
        <v>188</v>
      </c>
      <c r="F432">
        <v>5105010107</v>
      </c>
      <c r="G432">
        <v>487.97</v>
      </c>
      <c r="I432" t="s">
        <v>160</v>
      </c>
      <c r="J432" t="s">
        <v>585</v>
      </c>
      <c r="K432" t="s">
        <v>164</v>
      </c>
      <c r="L432">
        <v>5500000534</v>
      </c>
      <c r="M432" t="s">
        <v>625</v>
      </c>
    </row>
    <row r="433" spans="3:13">
      <c r="C433">
        <v>2100300025</v>
      </c>
      <c r="D433">
        <v>6126000</v>
      </c>
      <c r="E433" t="s">
        <v>188</v>
      </c>
      <c r="F433">
        <v>5105010107</v>
      </c>
      <c r="G433">
        <v>504.24</v>
      </c>
      <c r="I433" t="s">
        <v>160</v>
      </c>
      <c r="J433" t="s">
        <v>587</v>
      </c>
      <c r="K433" t="s">
        <v>164</v>
      </c>
      <c r="L433">
        <v>5500000611</v>
      </c>
      <c r="M433" t="s">
        <v>626</v>
      </c>
    </row>
    <row r="434" spans="3:13">
      <c r="C434">
        <v>2100300025</v>
      </c>
      <c r="D434">
        <v>6126000</v>
      </c>
      <c r="E434" t="s">
        <v>188</v>
      </c>
      <c r="F434">
        <v>5105010107</v>
      </c>
      <c r="G434">
        <v>504.24</v>
      </c>
      <c r="I434" t="s">
        <v>160</v>
      </c>
      <c r="J434" t="s">
        <v>589</v>
      </c>
      <c r="K434" t="s">
        <v>164</v>
      </c>
      <c r="L434">
        <v>5500000688</v>
      </c>
      <c r="M434" t="s">
        <v>627</v>
      </c>
    </row>
    <row r="435" spans="3:13">
      <c r="C435">
        <v>2100300025</v>
      </c>
      <c r="D435">
        <v>6126000</v>
      </c>
      <c r="E435" t="s">
        <v>188</v>
      </c>
      <c r="F435">
        <v>5105010107</v>
      </c>
      <c r="G435">
        <v>487.97</v>
      </c>
      <c r="I435" t="s">
        <v>160</v>
      </c>
      <c r="J435" t="s">
        <v>591</v>
      </c>
      <c r="K435" t="s">
        <v>164</v>
      </c>
      <c r="L435">
        <v>5500000765</v>
      </c>
      <c r="M435" t="s">
        <v>628</v>
      </c>
    </row>
    <row r="436" spans="3:13">
      <c r="C436">
        <v>2100300025</v>
      </c>
      <c r="D436">
        <v>6226000</v>
      </c>
      <c r="E436" t="s">
        <v>188</v>
      </c>
      <c r="F436">
        <v>5105010107</v>
      </c>
      <c r="G436" s="13">
        <v>3322.41</v>
      </c>
      <c r="I436" t="s">
        <v>160</v>
      </c>
      <c r="J436" t="s">
        <v>571</v>
      </c>
      <c r="K436" t="s">
        <v>164</v>
      </c>
      <c r="L436">
        <v>5500000009</v>
      </c>
      <c r="M436" t="s">
        <v>618</v>
      </c>
    </row>
    <row r="437" spans="3:13">
      <c r="C437">
        <v>2100300025</v>
      </c>
      <c r="D437">
        <v>6226000</v>
      </c>
      <c r="E437" t="s">
        <v>188</v>
      </c>
      <c r="F437">
        <v>5105010107</v>
      </c>
      <c r="G437" s="13">
        <v>1688.44</v>
      </c>
      <c r="I437" t="s">
        <v>160</v>
      </c>
      <c r="J437" t="s">
        <v>573</v>
      </c>
      <c r="K437" t="s">
        <v>164</v>
      </c>
      <c r="L437">
        <v>5500000082</v>
      </c>
      <c r="M437" t="s">
        <v>619</v>
      </c>
    </row>
    <row r="438" spans="3:13">
      <c r="C438">
        <v>2100300025</v>
      </c>
      <c r="D438">
        <v>6226000</v>
      </c>
      <c r="E438" t="s">
        <v>188</v>
      </c>
      <c r="F438">
        <v>5105010107</v>
      </c>
      <c r="G438" s="13">
        <v>1688.44</v>
      </c>
      <c r="I438" t="s">
        <v>160</v>
      </c>
      <c r="J438" t="s">
        <v>575</v>
      </c>
      <c r="K438" t="s">
        <v>164</v>
      </c>
      <c r="L438">
        <v>5500000155</v>
      </c>
      <c r="M438" t="s">
        <v>620</v>
      </c>
    </row>
    <row r="439" spans="3:13">
      <c r="C439">
        <v>2100300025</v>
      </c>
      <c r="D439">
        <v>6226000</v>
      </c>
      <c r="E439" t="s">
        <v>188</v>
      </c>
      <c r="F439">
        <v>5105010107</v>
      </c>
      <c r="G439" s="13">
        <v>1525.04</v>
      </c>
      <c r="I439" t="s">
        <v>160</v>
      </c>
      <c r="J439" t="s">
        <v>577</v>
      </c>
      <c r="K439" t="s">
        <v>164</v>
      </c>
      <c r="L439">
        <v>5500000231</v>
      </c>
      <c r="M439" t="s">
        <v>630</v>
      </c>
    </row>
    <row r="440" spans="3:13">
      <c r="C440">
        <v>2100300025</v>
      </c>
      <c r="D440">
        <v>6226000</v>
      </c>
      <c r="E440" t="s">
        <v>188</v>
      </c>
      <c r="F440">
        <v>5105010107</v>
      </c>
      <c r="G440" s="13">
        <v>1688.44</v>
      </c>
      <c r="I440" t="s">
        <v>160</v>
      </c>
      <c r="J440" t="s">
        <v>579</v>
      </c>
      <c r="K440" t="s">
        <v>164</v>
      </c>
      <c r="L440">
        <v>5500000306</v>
      </c>
      <c r="M440" t="s">
        <v>629</v>
      </c>
    </row>
    <row r="441" spans="3:13">
      <c r="C441">
        <v>2100300025</v>
      </c>
      <c r="D441">
        <v>6226000</v>
      </c>
      <c r="E441" t="s">
        <v>188</v>
      </c>
      <c r="F441">
        <v>5105010107</v>
      </c>
      <c r="G441" s="13">
        <v>1633.97</v>
      </c>
      <c r="I441" t="s">
        <v>160</v>
      </c>
      <c r="J441" t="s">
        <v>581</v>
      </c>
      <c r="K441" t="s">
        <v>164</v>
      </c>
      <c r="L441">
        <v>5500000381</v>
      </c>
      <c r="M441" t="s">
        <v>623</v>
      </c>
    </row>
    <row r="442" spans="3:13">
      <c r="C442">
        <v>2100300025</v>
      </c>
      <c r="D442">
        <v>6226000</v>
      </c>
      <c r="E442" t="s">
        <v>188</v>
      </c>
      <c r="F442">
        <v>5105010107</v>
      </c>
      <c r="G442" s="13">
        <v>1688.44</v>
      </c>
      <c r="I442" t="s">
        <v>160</v>
      </c>
      <c r="J442" t="s">
        <v>583</v>
      </c>
      <c r="K442" t="s">
        <v>164</v>
      </c>
      <c r="L442">
        <v>5500000457</v>
      </c>
      <c r="M442" t="s">
        <v>624</v>
      </c>
    </row>
    <row r="443" spans="3:13">
      <c r="C443">
        <v>2100300025</v>
      </c>
      <c r="D443">
        <v>6226000</v>
      </c>
      <c r="E443" t="s">
        <v>188</v>
      </c>
      <c r="F443">
        <v>5105010107</v>
      </c>
      <c r="G443" s="13">
        <v>1633.97</v>
      </c>
      <c r="I443" t="s">
        <v>160</v>
      </c>
      <c r="J443" t="s">
        <v>585</v>
      </c>
      <c r="K443" t="s">
        <v>164</v>
      </c>
      <c r="L443">
        <v>5500000534</v>
      </c>
      <c r="M443" t="s">
        <v>625</v>
      </c>
    </row>
    <row r="444" spans="3:13">
      <c r="C444">
        <v>2100300025</v>
      </c>
      <c r="D444">
        <v>6226000</v>
      </c>
      <c r="E444" t="s">
        <v>188</v>
      </c>
      <c r="F444">
        <v>5105010107</v>
      </c>
      <c r="G444" s="13">
        <v>1688.44</v>
      </c>
      <c r="I444" t="s">
        <v>160</v>
      </c>
      <c r="J444" t="s">
        <v>587</v>
      </c>
      <c r="K444" t="s">
        <v>164</v>
      </c>
      <c r="L444">
        <v>5500000611</v>
      </c>
      <c r="M444" t="s">
        <v>626</v>
      </c>
    </row>
    <row r="445" spans="3:13">
      <c r="C445">
        <v>2100300025</v>
      </c>
      <c r="D445">
        <v>6226000</v>
      </c>
      <c r="E445" t="s">
        <v>188</v>
      </c>
      <c r="F445">
        <v>5105010107</v>
      </c>
      <c r="G445" s="13">
        <v>1688.44</v>
      </c>
      <c r="I445" t="s">
        <v>160</v>
      </c>
      <c r="J445" t="s">
        <v>589</v>
      </c>
      <c r="K445" t="s">
        <v>164</v>
      </c>
      <c r="L445">
        <v>5500000688</v>
      </c>
      <c r="M445" t="s">
        <v>627</v>
      </c>
    </row>
    <row r="446" spans="3:13">
      <c r="C446">
        <v>2100300025</v>
      </c>
      <c r="D446">
        <v>6226000</v>
      </c>
      <c r="E446" t="s">
        <v>188</v>
      </c>
      <c r="F446">
        <v>5105010107</v>
      </c>
      <c r="G446" s="13">
        <v>1633.97</v>
      </c>
      <c r="I446" t="s">
        <v>160</v>
      </c>
      <c r="J446" t="s">
        <v>591</v>
      </c>
      <c r="K446" t="s">
        <v>164</v>
      </c>
      <c r="L446">
        <v>5500000765</v>
      </c>
      <c r="M446" t="s">
        <v>628</v>
      </c>
    </row>
    <row r="447" spans="3:13">
      <c r="C447">
        <v>2100300025</v>
      </c>
      <c r="D447">
        <v>5526000</v>
      </c>
      <c r="E447" t="s">
        <v>188</v>
      </c>
      <c r="F447">
        <v>5105010109</v>
      </c>
      <c r="G447">
        <v>430.36</v>
      </c>
      <c r="I447" t="s">
        <v>160</v>
      </c>
      <c r="J447" t="s">
        <v>571</v>
      </c>
      <c r="K447" t="s">
        <v>165</v>
      </c>
      <c r="L447">
        <v>5500000021</v>
      </c>
      <c r="M447" t="s">
        <v>631</v>
      </c>
    </row>
    <row r="448" spans="3:13">
      <c r="C448">
        <v>2100300025</v>
      </c>
      <c r="D448">
        <v>5526000</v>
      </c>
      <c r="E448" t="s">
        <v>188</v>
      </c>
      <c r="F448">
        <v>5105010109</v>
      </c>
      <c r="G448">
        <v>218.71</v>
      </c>
      <c r="I448" t="s">
        <v>160</v>
      </c>
      <c r="J448" t="s">
        <v>573</v>
      </c>
      <c r="K448" t="s">
        <v>165</v>
      </c>
      <c r="L448">
        <v>5500000094</v>
      </c>
      <c r="M448" t="s">
        <v>632</v>
      </c>
    </row>
    <row r="449" spans="3:13">
      <c r="C449">
        <v>2100300025</v>
      </c>
      <c r="D449">
        <v>5526000</v>
      </c>
      <c r="E449" t="s">
        <v>188</v>
      </c>
      <c r="F449">
        <v>5105010109</v>
      </c>
      <c r="G449">
        <v>218.71</v>
      </c>
      <c r="I449" t="s">
        <v>160</v>
      </c>
      <c r="J449" t="s">
        <v>575</v>
      </c>
      <c r="K449" t="s">
        <v>165</v>
      </c>
      <c r="L449">
        <v>5500000167</v>
      </c>
      <c r="M449" t="s">
        <v>633</v>
      </c>
    </row>
    <row r="450" spans="3:13">
      <c r="C450">
        <v>2100300025</v>
      </c>
      <c r="D450">
        <v>5526000</v>
      </c>
      <c r="E450" t="s">
        <v>188</v>
      </c>
      <c r="F450">
        <v>5105010109</v>
      </c>
      <c r="G450">
        <v>197.54</v>
      </c>
      <c r="I450" t="s">
        <v>160</v>
      </c>
      <c r="J450" t="s">
        <v>577</v>
      </c>
      <c r="K450" t="s">
        <v>165</v>
      </c>
      <c r="L450">
        <v>5500000242</v>
      </c>
      <c r="M450" t="s">
        <v>634</v>
      </c>
    </row>
    <row r="451" spans="3:13">
      <c r="C451">
        <v>2100300025</v>
      </c>
      <c r="D451">
        <v>5526000</v>
      </c>
      <c r="E451" t="s">
        <v>188</v>
      </c>
      <c r="F451">
        <v>5105010109</v>
      </c>
      <c r="G451">
        <v>218.71</v>
      </c>
      <c r="I451" t="s">
        <v>160</v>
      </c>
      <c r="J451" t="s">
        <v>579</v>
      </c>
      <c r="K451" t="s">
        <v>165</v>
      </c>
      <c r="L451">
        <v>5500000317</v>
      </c>
      <c r="M451" t="s">
        <v>635</v>
      </c>
    </row>
    <row r="452" spans="3:13">
      <c r="C452">
        <v>2100300025</v>
      </c>
      <c r="D452">
        <v>5526000</v>
      </c>
      <c r="E452" t="s">
        <v>188</v>
      </c>
      <c r="F452">
        <v>5105010109</v>
      </c>
      <c r="G452">
        <v>211.66</v>
      </c>
      <c r="I452" t="s">
        <v>160</v>
      </c>
      <c r="J452" t="s">
        <v>581</v>
      </c>
      <c r="K452" t="s">
        <v>165</v>
      </c>
      <c r="L452">
        <v>5500000392</v>
      </c>
      <c r="M452" t="s">
        <v>636</v>
      </c>
    </row>
    <row r="453" spans="3:13">
      <c r="C453">
        <v>2100300025</v>
      </c>
      <c r="D453">
        <v>5526000</v>
      </c>
      <c r="E453" t="s">
        <v>188</v>
      </c>
      <c r="F453">
        <v>5105010109</v>
      </c>
      <c r="G453">
        <v>218.7</v>
      </c>
      <c r="I453" t="s">
        <v>160</v>
      </c>
      <c r="J453" t="s">
        <v>583</v>
      </c>
      <c r="K453" t="s">
        <v>165</v>
      </c>
      <c r="L453">
        <v>5500000468</v>
      </c>
      <c r="M453" t="s">
        <v>637</v>
      </c>
    </row>
    <row r="454" spans="3:13">
      <c r="C454">
        <v>2100300025</v>
      </c>
      <c r="D454">
        <v>5526000</v>
      </c>
      <c r="E454" t="s">
        <v>188</v>
      </c>
      <c r="F454">
        <v>5105010109</v>
      </c>
      <c r="G454">
        <v>211.66</v>
      </c>
      <c r="I454" t="s">
        <v>160</v>
      </c>
      <c r="J454" t="s">
        <v>585</v>
      </c>
      <c r="K454" t="s">
        <v>165</v>
      </c>
      <c r="L454">
        <v>5500000545</v>
      </c>
      <c r="M454" t="s">
        <v>638</v>
      </c>
    </row>
    <row r="455" spans="3:13">
      <c r="C455">
        <v>2100300025</v>
      </c>
      <c r="D455">
        <v>5526000</v>
      </c>
      <c r="E455" t="s">
        <v>188</v>
      </c>
      <c r="F455">
        <v>5105010109</v>
      </c>
      <c r="G455">
        <v>218.71</v>
      </c>
      <c r="I455" t="s">
        <v>160</v>
      </c>
      <c r="J455" t="s">
        <v>587</v>
      </c>
      <c r="K455" t="s">
        <v>165</v>
      </c>
      <c r="L455">
        <v>5500000622</v>
      </c>
      <c r="M455" t="s">
        <v>639</v>
      </c>
    </row>
    <row r="456" spans="3:13">
      <c r="C456">
        <v>2100300025</v>
      </c>
      <c r="D456">
        <v>5526000</v>
      </c>
      <c r="E456" t="s">
        <v>188</v>
      </c>
      <c r="F456">
        <v>5105010109</v>
      </c>
      <c r="G456">
        <v>218.71</v>
      </c>
      <c r="I456" t="s">
        <v>160</v>
      </c>
      <c r="J456" t="s">
        <v>589</v>
      </c>
      <c r="K456" t="s">
        <v>165</v>
      </c>
      <c r="L456">
        <v>5500000699</v>
      </c>
      <c r="M456" t="s">
        <v>640</v>
      </c>
    </row>
    <row r="457" spans="3:13">
      <c r="C457">
        <v>2100300025</v>
      </c>
      <c r="D457">
        <v>5526000</v>
      </c>
      <c r="E457" t="s">
        <v>188</v>
      </c>
      <c r="F457">
        <v>5105010109</v>
      </c>
      <c r="G457">
        <v>211.65</v>
      </c>
      <c r="I457" t="s">
        <v>160</v>
      </c>
      <c r="J457" t="s">
        <v>591</v>
      </c>
      <c r="K457" t="s">
        <v>165</v>
      </c>
      <c r="L457">
        <v>5500000777</v>
      </c>
      <c r="M457" t="s">
        <v>641</v>
      </c>
    </row>
    <row r="458" spans="3:13">
      <c r="C458">
        <v>2100300025</v>
      </c>
      <c r="D458">
        <v>5626000</v>
      </c>
      <c r="E458" t="s">
        <v>188</v>
      </c>
      <c r="F458">
        <v>5105010109</v>
      </c>
      <c r="G458" s="13">
        <v>6583.47</v>
      </c>
      <c r="I458" t="s">
        <v>160</v>
      </c>
      <c r="J458" t="s">
        <v>571</v>
      </c>
      <c r="K458" t="s">
        <v>165</v>
      </c>
      <c r="L458">
        <v>5500000021</v>
      </c>
      <c r="M458" t="s">
        <v>631</v>
      </c>
    </row>
    <row r="459" spans="3:13">
      <c r="C459">
        <v>2100300025</v>
      </c>
      <c r="D459">
        <v>5626000</v>
      </c>
      <c r="E459" t="s">
        <v>188</v>
      </c>
      <c r="F459">
        <v>5105010109</v>
      </c>
      <c r="G459" s="13">
        <v>2424.87</v>
      </c>
      <c r="I459" t="s">
        <v>160</v>
      </c>
      <c r="J459" t="s">
        <v>573</v>
      </c>
      <c r="K459" t="s">
        <v>165</v>
      </c>
      <c r="L459">
        <v>5500000094</v>
      </c>
      <c r="M459" t="s">
        <v>632</v>
      </c>
    </row>
    <row r="460" spans="3:13">
      <c r="C460">
        <v>2100300025</v>
      </c>
      <c r="D460">
        <v>5626000</v>
      </c>
      <c r="E460" t="s">
        <v>188</v>
      </c>
      <c r="F460">
        <v>5105010109</v>
      </c>
      <c r="G460" s="13">
        <v>2411.65</v>
      </c>
      <c r="I460" t="s">
        <v>160</v>
      </c>
      <c r="J460" t="s">
        <v>575</v>
      </c>
      <c r="K460" t="s">
        <v>165</v>
      </c>
      <c r="L460">
        <v>5500000167</v>
      </c>
      <c r="M460" t="s">
        <v>633</v>
      </c>
    </row>
    <row r="461" spans="3:13">
      <c r="C461">
        <v>2100300025</v>
      </c>
      <c r="D461">
        <v>5626000</v>
      </c>
      <c r="E461" t="s">
        <v>188</v>
      </c>
      <c r="F461">
        <v>5105010109</v>
      </c>
      <c r="G461" s="13">
        <v>1886.49</v>
      </c>
      <c r="I461" t="s">
        <v>160</v>
      </c>
      <c r="J461" t="s">
        <v>577</v>
      </c>
      <c r="K461" t="s">
        <v>165</v>
      </c>
      <c r="L461">
        <v>5500000242</v>
      </c>
      <c r="M461" t="s">
        <v>634</v>
      </c>
    </row>
    <row r="462" spans="3:13">
      <c r="C462">
        <v>2100300025</v>
      </c>
      <c r="D462">
        <v>5626000</v>
      </c>
      <c r="E462" t="s">
        <v>188</v>
      </c>
      <c r="F462">
        <v>5105010109</v>
      </c>
      <c r="G462" s="13">
        <v>1675.37</v>
      </c>
      <c r="I462" t="s">
        <v>160</v>
      </c>
      <c r="J462" t="s">
        <v>579</v>
      </c>
      <c r="K462" t="s">
        <v>165</v>
      </c>
      <c r="L462">
        <v>5500000317</v>
      </c>
      <c r="M462" t="s">
        <v>635</v>
      </c>
    </row>
    <row r="463" spans="3:13">
      <c r="C463">
        <v>2100300025</v>
      </c>
      <c r="D463">
        <v>5626000</v>
      </c>
      <c r="E463" t="s">
        <v>188</v>
      </c>
      <c r="F463">
        <v>5105010109</v>
      </c>
      <c r="G463" s="13">
        <v>1401.39</v>
      </c>
      <c r="I463" t="s">
        <v>160</v>
      </c>
      <c r="J463" t="s">
        <v>581</v>
      </c>
      <c r="K463" t="s">
        <v>165</v>
      </c>
      <c r="L463">
        <v>5500000392</v>
      </c>
      <c r="M463" t="s">
        <v>636</v>
      </c>
    </row>
    <row r="464" spans="3:13">
      <c r="C464">
        <v>2100300025</v>
      </c>
      <c r="D464">
        <v>5626000</v>
      </c>
      <c r="E464" t="s">
        <v>188</v>
      </c>
      <c r="F464">
        <v>5105010109</v>
      </c>
      <c r="G464" s="13">
        <v>1448.1</v>
      </c>
      <c r="I464" t="s">
        <v>160</v>
      </c>
      <c r="J464" t="s">
        <v>583</v>
      </c>
      <c r="K464" t="s">
        <v>165</v>
      </c>
      <c r="L464">
        <v>5500000468</v>
      </c>
      <c r="M464" t="s">
        <v>637</v>
      </c>
    </row>
    <row r="465" spans="3:13">
      <c r="C465">
        <v>2100300025</v>
      </c>
      <c r="D465">
        <v>5626000</v>
      </c>
      <c r="E465" t="s">
        <v>188</v>
      </c>
      <c r="F465">
        <v>5105010109</v>
      </c>
      <c r="G465" s="13">
        <v>1401.36</v>
      </c>
      <c r="I465" t="s">
        <v>160</v>
      </c>
      <c r="J465" t="s">
        <v>585</v>
      </c>
      <c r="K465" t="s">
        <v>165</v>
      </c>
      <c r="L465">
        <v>5500000545</v>
      </c>
      <c r="M465" t="s">
        <v>638</v>
      </c>
    </row>
    <row r="466" spans="3:13">
      <c r="C466">
        <v>2100300025</v>
      </c>
      <c r="D466">
        <v>5626000</v>
      </c>
      <c r="E466" t="s">
        <v>188</v>
      </c>
      <c r="F466">
        <v>5105010109</v>
      </c>
      <c r="G466" s="13">
        <v>1390.54</v>
      </c>
      <c r="I466" t="s">
        <v>160</v>
      </c>
      <c r="J466" t="s">
        <v>587</v>
      </c>
      <c r="K466" t="s">
        <v>165</v>
      </c>
      <c r="L466">
        <v>5500000622</v>
      </c>
      <c r="M466" t="s">
        <v>639</v>
      </c>
    </row>
    <row r="467" spans="3:13">
      <c r="C467">
        <v>2100300025</v>
      </c>
      <c r="D467">
        <v>5626000</v>
      </c>
      <c r="E467" t="s">
        <v>188</v>
      </c>
      <c r="F467">
        <v>5105010109</v>
      </c>
      <c r="G467" s="13">
        <v>1368.46</v>
      </c>
      <c r="I467" t="s">
        <v>160</v>
      </c>
      <c r="J467" t="s">
        <v>589</v>
      </c>
      <c r="K467" t="s">
        <v>165</v>
      </c>
      <c r="L467">
        <v>5500000699</v>
      </c>
      <c r="M467" t="s">
        <v>640</v>
      </c>
    </row>
    <row r="468" spans="3:13">
      <c r="C468">
        <v>2100300025</v>
      </c>
      <c r="D468">
        <v>5626000</v>
      </c>
      <c r="E468" t="s">
        <v>188</v>
      </c>
      <c r="F468">
        <v>5105010109</v>
      </c>
      <c r="G468" s="13">
        <v>1324.34</v>
      </c>
      <c r="I468" t="s">
        <v>160</v>
      </c>
      <c r="J468" t="s">
        <v>591</v>
      </c>
      <c r="K468" t="s">
        <v>165</v>
      </c>
      <c r="L468">
        <v>5500000777</v>
      </c>
      <c r="M468" t="s">
        <v>641</v>
      </c>
    </row>
    <row r="469" spans="3:13">
      <c r="C469">
        <v>2100300025</v>
      </c>
      <c r="D469">
        <v>5726000</v>
      </c>
      <c r="E469" t="s">
        <v>188</v>
      </c>
      <c r="F469">
        <v>5105010109</v>
      </c>
      <c r="G469" s="13">
        <v>3847.44</v>
      </c>
      <c r="I469" t="s">
        <v>160</v>
      </c>
      <c r="J469" t="s">
        <v>571</v>
      </c>
      <c r="K469" t="s">
        <v>165</v>
      </c>
      <c r="L469">
        <v>5500000021</v>
      </c>
      <c r="M469" t="s">
        <v>631</v>
      </c>
    </row>
    <row r="470" spans="3:13">
      <c r="C470">
        <v>2100300025</v>
      </c>
      <c r="D470">
        <v>5726000</v>
      </c>
      <c r="E470" t="s">
        <v>188</v>
      </c>
      <c r="F470">
        <v>5105010109</v>
      </c>
      <c r="G470" s="13">
        <v>1955.23</v>
      </c>
      <c r="I470" t="s">
        <v>160</v>
      </c>
      <c r="J470" t="s">
        <v>573</v>
      </c>
      <c r="K470" t="s">
        <v>165</v>
      </c>
      <c r="L470">
        <v>5500000094</v>
      </c>
      <c r="M470" t="s">
        <v>632</v>
      </c>
    </row>
    <row r="471" spans="3:13">
      <c r="C471">
        <v>2100300025</v>
      </c>
      <c r="D471">
        <v>5726000</v>
      </c>
      <c r="E471" t="s">
        <v>188</v>
      </c>
      <c r="F471">
        <v>5105010109</v>
      </c>
      <c r="G471" s="13">
        <v>1955.2</v>
      </c>
      <c r="I471" t="s">
        <v>160</v>
      </c>
      <c r="J471" t="s">
        <v>575</v>
      </c>
      <c r="K471" t="s">
        <v>165</v>
      </c>
      <c r="L471">
        <v>5500000167</v>
      </c>
      <c r="M471" t="s">
        <v>633</v>
      </c>
    </row>
    <row r="472" spans="3:13">
      <c r="C472">
        <v>2100300025</v>
      </c>
      <c r="D472">
        <v>5726000</v>
      </c>
      <c r="E472" t="s">
        <v>188</v>
      </c>
      <c r="F472">
        <v>5105010109</v>
      </c>
      <c r="G472" s="13">
        <v>1765.94</v>
      </c>
      <c r="I472" t="s">
        <v>160</v>
      </c>
      <c r="J472" t="s">
        <v>577</v>
      </c>
      <c r="K472" t="s">
        <v>165</v>
      </c>
      <c r="L472">
        <v>5500000242</v>
      </c>
      <c r="M472" t="s">
        <v>634</v>
      </c>
    </row>
    <row r="473" spans="3:13">
      <c r="C473">
        <v>2100300025</v>
      </c>
      <c r="D473">
        <v>5726000</v>
      </c>
      <c r="E473" t="s">
        <v>188</v>
      </c>
      <c r="F473">
        <v>5105010109</v>
      </c>
      <c r="G473" s="13">
        <v>1955.23</v>
      </c>
      <c r="I473" t="s">
        <v>160</v>
      </c>
      <c r="J473" t="s">
        <v>579</v>
      </c>
      <c r="K473" t="s">
        <v>165</v>
      </c>
      <c r="L473">
        <v>5500000317</v>
      </c>
      <c r="M473" t="s">
        <v>635</v>
      </c>
    </row>
    <row r="474" spans="3:13">
      <c r="C474">
        <v>2100300025</v>
      </c>
      <c r="D474">
        <v>5726000</v>
      </c>
      <c r="E474" t="s">
        <v>188</v>
      </c>
      <c r="F474">
        <v>5105010109</v>
      </c>
      <c r="G474" s="13">
        <v>1892.23</v>
      </c>
      <c r="I474" t="s">
        <v>160</v>
      </c>
      <c r="J474" t="s">
        <v>581</v>
      </c>
      <c r="K474" t="s">
        <v>165</v>
      </c>
      <c r="L474">
        <v>5500000392</v>
      </c>
      <c r="M474" t="s">
        <v>636</v>
      </c>
    </row>
    <row r="475" spans="3:13">
      <c r="C475">
        <v>2100300025</v>
      </c>
      <c r="D475">
        <v>5726000</v>
      </c>
      <c r="E475" t="s">
        <v>188</v>
      </c>
      <c r="F475">
        <v>5105010109</v>
      </c>
      <c r="G475" s="13">
        <v>1955.21</v>
      </c>
      <c r="I475" t="s">
        <v>160</v>
      </c>
      <c r="J475" t="s">
        <v>583</v>
      </c>
      <c r="K475" t="s">
        <v>165</v>
      </c>
      <c r="L475">
        <v>5500000468</v>
      </c>
      <c r="M475" t="s">
        <v>637</v>
      </c>
    </row>
    <row r="476" spans="3:13">
      <c r="C476">
        <v>2100300025</v>
      </c>
      <c r="D476">
        <v>5726000</v>
      </c>
      <c r="E476" t="s">
        <v>188</v>
      </c>
      <c r="F476">
        <v>5105010109</v>
      </c>
      <c r="G476" s="13">
        <v>1892.06</v>
      </c>
      <c r="I476" t="s">
        <v>160</v>
      </c>
      <c r="J476" t="s">
        <v>585</v>
      </c>
      <c r="K476" t="s">
        <v>165</v>
      </c>
      <c r="L476">
        <v>5500000545</v>
      </c>
      <c r="M476" t="s">
        <v>638</v>
      </c>
    </row>
    <row r="477" spans="3:13">
      <c r="C477">
        <v>2100300025</v>
      </c>
      <c r="D477">
        <v>5726000</v>
      </c>
      <c r="E477" t="s">
        <v>188</v>
      </c>
      <c r="F477">
        <v>5105010109</v>
      </c>
      <c r="G477" s="13">
        <v>1955.23</v>
      </c>
      <c r="I477" t="s">
        <v>160</v>
      </c>
      <c r="J477" t="s">
        <v>587</v>
      </c>
      <c r="K477" t="s">
        <v>165</v>
      </c>
      <c r="L477">
        <v>5500000623</v>
      </c>
      <c r="M477" t="s">
        <v>642</v>
      </c>
    </row>
    <row r="478" spans="3:13">
      <c r="C478">
        <v>2100300025</v>
      </c>
      <c r="D478">
        <v>5726000</v>
      </c>
      <c r="E478" t="s">
        <v>188</v>
      </c>
      <c r="F478">
        <v>5105010109</v>
      </c>
      <c r="G478" s="13">
        <v>1918.42</v>
      </c>
      <c r="I478" t="s">
        <v>160</v>
      </c>
      <c r="J478" t="s">
        <v>589</v>
      </c>
      <c r="K478" t="s">
        <v>165</v>
      </c>
      <c r="L478">
        <v>5500000700</v>
      </c>
      <c r="M478" t="s">
        <v>643</v>
      </c>
    </row>
    <row r="479" spans="3:13">
      <c r="C479">
        <v>2100300025</v>
      </c>
      <c r="D479">
        <v>5726000</v>
      </c>
      <c r="E479" t="s">
        <v>188</v>
      </c>
      <c r="F479">
        <v>5105010109</v>
      </c>
      <c r="G479" s="13">
        <v>1849.75</v>
      </c>
      <c r="I479" t="s">
        <v>160</v>
      </c>
      <c r="J479" t="s">
        <v>591</v>
      </c>
      <c r="K479" t="s">
        <v>165</v>
      </c>
      <c r="L479">
        <v>5500000777</v>
      </c>
      <c r="M479" t="s">
        <v>641</v>
      </c>
    </row>
    <row r="480" spans="3:13">
      <c r="C480">
        <v>2100300025</v>
      </c>
      <c r="D480">
        <v>5731300</v>
      </c>
      <c r="E480" t="s">
        <v>188</v>
      </c>
      <c r="F480">
        <v>5105010109</v>
      </c>
      <c r="G480" s="13">
        <v>3160.73</v>
      </c>
      <c r="I480" t="s">
        <v>160</v>
      </c>
      <c r="J480" t="s">
        <v>571</v>
      </c>
      <c r="K480" t="s">
        <v>165</v>
      </c>
      <c r="L480">
        <v>5500000021</v>
      </c>
      <c r="M480" t="s">
        <v>631</v>
      </c>
    </row>
    <row r="481" spans="3:13">
      <c r="C481">
        <v>2100300025</v>
      </c>
      <c r="D481">
        <v>5731300</v>
      </c>
      <c r="E481" t="s">
        <v>188</v>
      </c>
      <c r="F481">
        <v>5105010109</v>
      </c>
      <c r="G481" s="13">
        <v>1606.26</v>
      </c>
      <c r="I481" t="s">
        <v>160</v>
      </c>
      <c r="J481" t="s">
        <v>573</v>
      </c>
      <c r="K481" t="s">
        <v>165</v>
      </c>
      <c r="L481">
        <v>5500000094</v>
      </c>
      <c r="M481" t="s">
        <v>632</v>
      </c>
    </row>
    <row r="482" spans="3:13">
      <c r="C482">
        <v>2100300025</v>
      </c>
      <c r="D482">
        <v>5731300</v>
      </c>
      <c r="E482" t="s">
        <v>188</v>
      </c>
      <c r="F482">
        <v>5105010109</v>
      </c>
      <c r="G482" s="13">
        <v>1606.26</v>
      </c>
      <c r="I482" t="s">
        <v>160</v>
      </c>
      <c r="J482" t="s">
        <v>575</v>
      </c>
      <c r="K482" t="s">
        <v>165</v>
      </c>
      <c r="L482">
        <v>5500000167</v>
      </c>
      <c r="M482" t="s">
        <v>633</v>
      </c>
    </row>
    <row r="483" spans="3:13">
      <c r="C483">
        <v>2100300025</v>
      </c>
      <c r="D483">
        <v>5731300</v>
      </c>
      <c r="E483" t="s">
        <v>188</v>
      </c>
      <c r="F483">
        <v>5105010109</v>
      </c>
      <c r="G483" s="13">
        <v>1450.84</v>
      </c>
      <c r="I483" t="s">
        <v>160</v>
      </c>
      <c r="J483" t="s">
        <v>577</v>
      </c>
      <c r="K483" t="s">
        <v>165</v>
      </c>
      <c r="L483">
        <v>5500000242</v>
      </c>
      <c r="M483" t="s">
        <v>634</v>
      </c>
    </row>
    <row r="484" spans="3:13">
      <c r="C484">
        <v>2100300025</v>
      </c>
      <c r="D484">
        <v>5731300</v>
      </c>
      <c r="E484" t="s">
        <v>188</v>
      </c>
      <c r="F484">
        <v>5105010109</v>
      </c>
      <c r="G484" s="13">
        <v>1606.24</v>
      </c>
      <c r="I484" t="s">
        <v>160</v>
      </c>
      <c r="J484" t="s">
        <v>579</v>
      </c>
      <c r="K484" t="s">
        <v>165</v>
      </c>
      <c r="L484">
        <v>5500000317</v>
      </c>
      <c r="M484" t="s">
        <v>635</v>
      </c>
    </row>
    <row r="485" spans="3:13">
      <c r="C485">
        <v>2100300025</v>
      </c>
      <c r="D485">
        <v>5731300</v>
      </c>
      <c r="E485" t="s">
        <v>188</v>
      </c>
      <c r="F485">
        <v>5105010109</v>
      </c>
      <c r="G485" s="13">
        <v>1554.47</v>
      </c>
      <c r="I485" t="s">
        <v>160</v>
      </c>
      <c r="J485" t="s">
        <v>581</v>
      </c>
      <c r="K485" t="s">
        <v>165</v>
      </c>
      <c r="L485">
        <v>5500000392</v>
      </c>
      <c r="M485" t="s">
        <v>636</v>
      </c>
    </row>
    <row r="486" spans="3:13">
      <c r="C486">
        <v>2100300025</v>
      </c>
      <c r="D486">
        <v>5731300</v>
      </c>
      <c r="E486" t="s">
        <v>188</v>
      </c>
      <c r="F486">
        <v>5105010109</v>
      </c>
      <c r="G486" s="13">
        <v>1606.27</v>
      </c>
      <c r="I486" t="s">
        <v>160</v>
      </c>
      <c r="J486" t="s">
        <v>583</v>
      </c>
      <c r="K486" t="s">
        <v>165</v>
      </c>
      <c r="L486">
        <v>5500000468</v>
      </c>
      <c r="M486" t="s">
        <v>637</v>
      </c>
    </row>
    <row r="487" spans="3:13">
      <c r="C487">
        <v>2100300025</v>
      </c>
      <c r="D487">
        <v>5731300</v>
      </c>
      <c r="E487" t="s">
        <v>188</v>
      </c>
      <c r="F487">
        <v>5105010109</v>
      </c>
      <c r="G487" s="13">
        <v>1554.44</v>
      </c>
      <c r="I487" t="s">
        <v>160</v>
      </c>
      <c r="J487" t="s">
        <v>585</v>
      </c>
      <c r="K487" t="s">
        <v>165</v>
      </c>
      <c r="L487">
        <v>5500000545</v>
      </c>
      <c r="M487" t="s">
        <v>638</v>
      </c>
    </row>
    <row r="488" spans="3:13">
      <c r="C488">
        <v>2100300025</v>
      </c>
      <c r="D488">
        <v>5731300</v>
      </c>
      <c r="E488" t="s">
        <v>188</v>
      </c>
      <c r="F488">
        <v>5105010109</v>
      </c>
      <c r="G488" s="13">
        <v>1606.26</v>
      </c>
      <c r="I488" t="s">
        <v>160</v>
      </c>
      <c r="J488" t="s">
        <v>587</v>
      </c>
      <c r="K488" t="s">
        <v>165</v>
      </c>
      <c r="L488">
        <v>5500000623</v>
      </c>
      <c r="M488" t="s">
        <v>642</v>
      </c>
    </row>
    <row r="489" spans="3:13">
      <c r="C489">
        <v>2100300025</v>
      </c>
      <c r="D489">
        <v>5731300</v>
      </c>
      <c r="E489" t="s">
        <v>188</v>
      </c>
      <c r="F489">
        <v>5105010109</v>
      </c>
      <c r="G489" s="13">
        <v>1606.29</v>
      </c>
      <c r="I489" t="s">
        <v>160</v>
      </c>
      <c r="J489" t="s">
        <v>589</v>
      </c>
      <c r="K489" t="s">
        <v>165</v>
      </c>
      <c r="L489">
        <v>5500000700</v>
      </c>
      <c r="M489" t="s">
        <v>643</v>
      </c>
    </row>
    <row r="490" spans="3:13">
      <c r="C490">
        <v>2100300025</v>
      </c>
      <c r="D490">
        <v>5731300</v>
      </c>
      <c r="E490" t="s">
        <v>188</v>
      </c>
      <c r="F490">
        <v>5105010109</v>
      </c>
      <c r="G490" s="13">
        <v>1554.44</v>
      </c>
      <c r="I490" t="s">
        <v>160</v>
      </c>
      <c r="J490" t="s">
        <v>591</v>
      </c>
      <c r="K490" t="s">
        <v>165</v>
      </c>
      <c r="L490">
        <v>5500000777</v>
      </c>
      <c r="M490" t="s">
        <v>641</v>
      </c>
    </row>
    <row r="491" spans="3:13">
      <c r="C491">
        <v>2100300025</v>
      </c>
      <c r="D491">
        <v>5711320</v>
      </c>
      <c r="E491" t="s">
        <v>195</v>
      </c>
      <c r="F491">
        <v>5105010109</v>
      </c>
      <c r="G491" s="13">
        <v>81746.03</v>
      </c>
      <c r="I491" t="s">
        <v>160</v>
      </c>
      <c r="J491" t="s">
        <v>571</v>
      </c>
      <c r="K491" t="s">
        <v>165</v>
      </c>
      <c r="L491">
        <v>5500000021</v>
      </c>
      <c r="M491" t="s">
        <v>631</v>
      </c>
    </row>
    <row r="492" spans="3:13">
      <c r="C492">
        <v>2100300025</v>
      </c>
      <c r="D492">
        <v>5711320</v>
      </c>
      <c r="E492" t="s">
        <v>195</v>
      </c>
      <c r="F492">
        <v>5105010109</v>
      </c>
      <c r="G492" s="13">
        <v>41543.050000000003</v>
      </c>
      <c r="I492" t="s">
        <v>160</v>
      </c>
      <c r="J492" t="s">
        <v>573</v>
      </c>
      <c r="K492" t="s">
        <v>165</v>
      </c>
      <c r="L492">
        <v>5500000094</v>
      </c>
      <c r="M492" t="s">
        <v>632</v>
      </c>
    </row>
    <row r="493" spans="3:13">
      <c r="C493">
        <v>2100300025</v>
      </c>
      <c r="D493">
        <v>5711320</v>
      </c>
      <c r="E493" t="s">
        <v>195</v>
      </c>
      <c r="F493">
        <v>5105010109</v>
      </c>
      <c r="G493" s="13">
        <v>41543.11</v>
      </c>
      <c r="I493" t="s">
        <v>160</v>
      </c>
      <c r="J493" t="s">
        <v>575</v>
      </c>
      <c r="K493" t="s">
        <v>165</v>
      </c>
      <c r="L493">
        <v>5500000167</v>
      </c>
      <c r="M493" t="s">
        <v>633</v>
      </c>
    </row>
    <row r="494" spans="3:13">
      <c r="C494">
        <v>2100300025</v>
      </c>
      <c r="D494">
        <v>5711320</v>
      </c>
      <c r="E494" t="s">
        <v>195</v>
      </c>
      <c r="F494">
        <v>5105010109</v>
      </c>
      <c r="G494" s="13">
        <v>37522.589999999997</v>
      </c>
      <c r="I494" t="s">
        <v>160</v>
      </c>
      <c r="J494" t="s">
        <v>577</v>
      </c>
      <c r="K494" t="s">
        <v>165</v>
      </c>
      <c r="L494">
        <v>5500000242</v>
      </c>
      <c r="M494" t="s">
        <v>634</v>
      </c>
    </row>
    <row r="495" spans="3:13">
      <c r="C495">
        <v>2100300025</v>
      </c>
      <c r="D495">
        <v>5711320</v>
      </c>
      <c r="E495" t="s">
        <v>195</v>
      </c>
      <c r="F495">
        <v>5105010109</v>
      </c>
      <c r="G495" s="13">
        <v>41543.11</v>
      </c>
      <c r="I495" t="s">
        <v>160</v>
      </c>
      <c r="J495" t="s">
        <v>579</v>
      </c>
      <c r="K495" t="s">
        <v>165</v>
      </c>
      <c r="L495">
        <v>5500000317</v>
      </c>
      <c r="M495" t="s">
        <v>635</v>
      </c>
    </row>
    <row r="496" spans="3:13">
      <c r="C496">
        <v>2100300025</v>
      </c>
      <c r="D496">
        <v>5711320</v>
      </c>
      <c r="E496" t="s">
        <v>195</v>
      </c>
      <c r="F496">
        <v>5105010109</v>
      </c>
      <c r="G496" s="13">
        <v>40203.01</v>
      </c>
      <c r="I496" t="s">
        <v>160</v>
      </c>
      <c r="J496" t="s">
        <v>581</v>
      </c>
      <c r="K496" t="s">
        <v>165</v>
      </c>
      <c r="L496">
        <v>5500000392</v>
      </c>
      <c r="M496" t="s">
        <v>636</v>
      </c>
    </row>
    <row r="497" spans="3:13">
      <c r="C497">
        <v>2100300025</v>
      </c>
      <c r="D497">
        <v>5711320</v>
      </c>
      <c r="E497" t="s">
        <v>195</v>
      </c>
      <c r="F497">
        <v>5105010109</v>
      </c>
      <c r="G497" s="13">
        <v>41543.089999999997</v>
      </c>
      <c r="I497" t="s">
        <v>160</v>
      </c>
      <c r="J497" t="s">
        <v>583</v>
      </c>
      <c r="K497" t="s">
        <v>165</v>
      </c>
      <c r="L497">
        <v>5500000468</v>
      </c>
      <c r="M497" t="s">
        <v>637</v>
      </c>
    </row>
    <row r="498" spans="3:13">
      <c r="C498">
        <v>2100300025</v>
      </c>
      <c r="D498">
        <v>5711320</v>
      </c>
      <c r="E498" t="s">
        <v>195</v>
      </c>
      <c r="F498">
        <v>5105010109</v>
      </c>
      <c r="G498" s="13">
        <v>40202.949999999997</v>
      </c>
      <c r="I498" t="s">
        <v>160</v>
      </c>
      <c r="J498" t="s">
        <v>585</v>
      </c>
      <c r="K498" t="s">
        <v>165</v>
      </c>
      <c r="L498">
        <v>5500000545</v>
      </c>
      <c r="M498" t="s">
        <v>638</v>
      </c>
    </row>
    <row r="499" spans="3:13">
      <c r="C499">
        <v>2100300025</v>
      </c>
      <c r="D499">
        <v>5711320</v>
      </c>
      <c r="E499" t="s">
        <v>195</v>
      </c>
      <c r="F499">
        <v>5105010109</v>
      </c>
      <c r="G499" s="13">
        <v>41543.050000000003</v>
      </c>
      <c r="I499" t="s">
        <v>160</v>
      </c>
      <c r="J499" t="s">
        <v>587</v>
      </c>
      <c r="K499" t="s">
        <v>165</v>
      </c>
      <c r="L499">
        <v>5500000622</v>
      </c>
      <c r="M499" t="s">
        <v>639</v>
      </c>
    </row>
    <row r="500" spans="3:13">
      <c r="C500">
        <v>2100300025</v>
      </c>
      <c r="D500">
        <v>5711320</v>
      </c>
      <c r="E500" t="s">
        <v>195</v>
      </c>
      <c r="F500">
        <v>5105010109</v>
      </c>
      <c r="G500" s="13">
        <v>41543.019999999997</v>
      </c>
      <c r="I500" t="s">
        <v>160</v>
      </c>
      <c r="J500" t="s">
        <v>589</v>
      </c>
      <c r="K500" t="s">
        <v>165</v>
      </c>
      <c r="L500">
        <v>5500000699</v>
      </c>
      <c r="M500" t="s">
        <v>640</v>
      </c>
    </row>
    <row r="501" spans="3:13">
      <c r="C501">
        <v>2100300025</v>
      </c>
      <c r="D501">
        <v>5711320</v>
      </c>
      <c r="E501" t="s">
        <v>195</v>
      </c>
      <c r="F501">
        <v>5105010109</v>
      </c>
      <c r="G501" s="13">
        <v>40203.01</v>
      </c>
      <c r="I501" t="s">
        <v>160</v>
      </c>
      <c r="J501" t="s">
        <v>591</v>
      </c>
      <c r="K501" t="s">
        <v>165</v>
      </c>
      <c r="L501">
        <v>5500000777</v>
      </c>
      <c r="M501" t="s">
        <v>641</v>
      </c>
    </row>
    <row r="502" spans="3:13">
      <c r="C502">
        <v>2100300025</v>
      </c>
      <c r="D502">
        <v>5826000</v>
      </c>
      <c r="E502" t="s">
        <v>188</v>
      </c>
      <c r="F502">
        <v>5105010109</v>
      </c>
      <c r="G502" s="13">
        <v>2484.15</v>
      </c>
      <c r="I502" t="s">
        <v>160</v>
      </c>
      <c r="J502" t="s">
        <v>571</v>
      </c>
      <c r="K502" t="s">
        <v>165</v>
      </c>
      <c r="L502">
        <v>5500000021</v>
      </c>
      <c r="M502" t="s">
        <v>631</v>
      </c>
    </row>
    <row r="503" spans="3:13">
      <c r="C503">
        <v>2100300025</v>
      </c>
      <c r="D503">
        <v>5826000</v>
      </c>
      <c r="E503" t="s">
        <v>188</v>
      </c>
      <c r="F503">
        <v>5105010109</v>
      </c>
      <c r="G503" s="13">
        <v>1262.5</v>
      </c>
      <c r="I503" t="s">
        <v>160</v>
      </c>
      <c r="J503" t="s">
        <v>573</v>
      </c>
      <c r="K503" t="s">
        <v>165</v>
      </c>
      <c r="L503">
        <v>5500000094</v>
      </c>
      <c r="M503" t="s">
        <v>632</v>
      </c>
    </row>
    <row r="504" spans="3:13">
      <c r="C504">
        <v>2100300025</v>
      </c>
      <c r="D504">
        <v>5826000</v>
      </c>
      <c r="E504" t="s">
        <v>188</v>
      </c>
      <c r="F504">
        <v>5105010109</v>
      </c>
      <c r="G504" s="13">
        <v>1262.47</v>
      </c>
      <c r="I504" t="s">
        <v>160</v>
      </c>
      <c r="J504" t="s">
        <v>575</v>
      </c>
      <c r="K504" t="s">
        <v>165</v>
      </c>
      <c r="L504">
        <v>5500000167</v>
      </c>
      <c r="M504" t="s">
        <v>633</v>
      </c>
    </row>
    <row r="505" spans="3:13">
      <c r="C505">
        <v>2100300025</v>
      </c>
      <c r="D505">
        <v>5826000</v>
      </c>
      <c r="E505" t="s">
        <v>188</v>
      </c>
      <c r="F505">
        <v>5105010109</v>
      </c>
      <c r="G505" s="13">
        <v>1140.28</v>
      </c>
      <c r="I505" t="s">
        <v>160</v>
      </c>
      <c r="J505" t="s">
        <v>577</v>
      </c>
      <c r="K505" t="s">
        <v>165</v>
      </c>
      <c r="L505">
        <v>5500000242</v>
      </c>
      <c r="M505" t="s">
        <v>634</v>
      </c>
    </row>
    <row r="506" spans="3:13">
      <c r="C506">
        <v>2100300025</v>
      </c>
      <c r="D506">
        <v>5826000</v>
      </c>
      <c r="E506" t="s">
        <v>188</v>
      </c>
      <c r="F506">
        <v>5105010109</v>
      </c>
      <c r="G506" s="13">
        <v>1262.48</v>
      </c>
      <c r="I506" t="s">
        <v>160</v>
      </c>
      <c r="J506" t="s">
        <v>579</v>
      </c>
      <c r="K506" t="s">
        <v>165</v>
      </c>
      <c r="L506">
        <v>5500000317</v>
      </c>
      <c r="M506" t="s">
        <v>635</v>
      </c>
    </row>
    <row r="507" spans="3:13">
      <c r="C507">
        <v>2100300025</v>
      </c>
      <c r="D507">
        <v>5826000</v>
      </c>
      <c r="E507" t="s">
        <v>188</v>
      </c>
      <c r="F507">
        <v>5105010109</v>
      </c>
      <c r="G507" s="13">
        <v>1221.69</v>
      </c>
      <c r="I507" t="s">
        <v>160</v>
      </c>
      <c r="J507" t="s">
        <v>581</v>
      </c>
      <c r="K507" t="s">
        <v>165</v>
      </c>
      <c r="L507">
        <v>5500000392</v>
      </c>
      <c r="M507" t="s">
        <v>636</v>
      </c>
    </row>
    <row r="508" spans="3:13">
      <c r="C508">
        <v>2100300025</v>
      </c>
      <c r="D508">
        <v>5826000</v>
      </c>
      <c r="E508" t="s">
        <v>188</v>
      </c>
      <c r="F508">
        <v>5105010109</v>
      </c>
      <c r="G508" s="13">
        <v>1262.48</v>
      </c>
      <c r="I508" t="s">
        <v>160</v>
      </c>
      <c r="J508" t="s">
        <v>583</v>
      </c>
      <c r="K508" t="s">
        <v>165</v>
      </c>
      <c r="L508">
        <v>5500000468</v>
      </c>
      <c r="M508" t="s">
        <v>637</v>
      </c>
    </row>
    <row r="509" spans="3:13">
      <c r="C509">
        <v>2100300025</v>
      </c>
      <c r="D509">
        <v>5826000</v>
      </c>
      <c r="E509" t="s">
        <v>188</v>
      </c>
      <c r="F509">
        <v>5105010109</v>
      </c>
      <c r="G509" s="13">
        <v>1221.72</v>
      </c>
      <c r="I509" t="s">
        <v>160</v>
      </c>
      <c r="J509" t="s">
        <v>585</v>
      </c>
      <c r="K509" t="s">
        <v>165</v>
      </c>
      <c r="L509">
        <v>5500000545</v>
      </c>
      <c r="M509" t="s">
        <v>638</v>
      </c>
    </row>
    <row r="510" spans="3:13">
      <c r="C510">
        <v>2100300025</v>
      </c>
      <c r="D510">
        <v>5826000</v>
      </c>
      <c r="E510" t="s">
        <v>188</v>
      </c>
      <c r="F510">
        <v>5105010109</v>
      </c>
      <c r="G510" s="13">
        <v>1262.5</v>
      </c>
      <c r="I510" t="s">
        <v>160</v>
      </c>
      <c r="J510" t="s">
        <v>587</v>
      </c>
      <c r="K510" t="s">
        <v>165</v>
      </c>
      <c r="L510">
        <v>5500000623</v>
      </c>
      <c r="M510" t="s">
        <v>642</v>
      </c>
    </row>
    <row r="511" spans="3:13">
      <c r="C511">
        <v>2100300025</v>
      </c>
      <c r="D511">
        <v>5826000</v>
      </c>
      <c r="E511" t="s">
        <v>188</v>
      </c>
      <c r="F511">
        <v>5105010109</v>
      </c>
      <c r="G511" s="13">
        <v>1191.24</v>
      </c>
      <c r="I511" t="s">
        <v>160</v>
      </c>
      <c r="J511" t="s">
        <v>589</v>
      </c>
      <c r="K511" t="s">
        <v>165</v>
      </c>
      <c r="L511">
        <v>5500000700</v>
      </c>
      <c r="M511" t="s">
        <v>643</v>
      </c>
    </row>
    <row r="512" spans="3:13">
      <c r="C512">
        <v>2100300025</v>
      </c>
      <c r="D512">
        <v>5826000</v>
      </c>
      <c r="E512" t="s">
        <v>188</v>
      </c>
      <c r="F512">
        <v>5105010109</v>
      </c>
      <c r="G512" s="13">
        <v>1139.68</v>
      </c>
      <c r="I512" t="s">
        <v>160</v>
      </c>
      <c r="J512" t="s">
        <v>591</v>
      </c>
      <c r="K512" t="s">
        <v>165</v>
      </c>
      <c r="L512">
        <v>5500000777</v>
      </c>
      <c r="M512" t="s">
        <v>641</v>
      </c>
    </row>
    <row r="513" spans="3:13">
      <c r="C513">
        <v>2100300025</v>
      </c>
      <c r="D513">
        <v>5831000</v>
      </c>
      <c r="E513" t="s">
        <v>188</v>
      </c>
      <c r="F513">
        <v>5105010109</v>
      </c>
      <c r="G513" s="13">
        <v>2797.54</v>
      </c>
      <c r="I513" t="s">
        <v>160</v>
      </c>
      <c r="J513" t="s">
        <v>571</v>
      </c>
      <c r="K513" t="s">
        <v>165</v>
      </c>
      <c r="L513">
        <v>5500000021</v>
      </c>
      <c r="M513" t="s">
        <v>631</v>
      </c>
    </row>
    <row r="514" spans="3:13">
      <c r="C514">
        <v>2100300025</v>
      </c>
      <c r="D514">
        <v>5831000</v>
      </c>
      <c r="E514" t="s">
        <v>188</v>
      </c>
      <c r="F514">
        <v>5105010109</v>
      </c>
      <c r="G514" s="13">
        <v>1421.7</v>
      </c>
      <c r="I514" t="s">
        <v>160</v>
      </c>
      <c r="J514" t="s">
        <v>573</v>
      </c>
      <c r="K514" t="s">
        <v>165</v>
      </c>
      <c r="L514">
        <v>5500000094</v>
      </c>
      <c r="M514" t="s">
        <v>632</v>
      </c>
    </row>
    <row r="515" spans="3:13">
      <c r="C515">
        <v>2100300025</v>
      </c>
      <c r="D515">
        <v>5831000</v>
      </c>
      <c r="E515" t="s">
        <v>188</v>
      </c>
      <c r="F515">
        <v>5105010109</v>
      </c>
      <c r="G515" s="13">
        <v>1421.67</v>
      </c>
      <c r="I515" t="s">
        <v>160</v>
      </c>
      <c r="J515" t="s">
        <v>575</v>
      </c>
      <c r="K515" t="s">
        <v>165</v>
      </c>
      <c r="L515">
        <v>5500000167</v>
      </c>
      <c r="M515" t="s">
        <v>633</v>
      </c>
    </row>
    <row r="516" spans="3:13">
      <c r="C516">
        <v>2100300025</v>
      </c>
      <c r="D516">
        <v>5831000</v>
      </c>
      <c r="E516" t="s">
        <v>188</v>
      </c>
      <c r="F516">
        <v>5105010109</v>
      </c>
      <c r="G516" s="13">
        <v>1284.1600000000001</v>
      </c>
      <c r="I516" t="s">
        <v>160</v>
      </c>
      <c r="J516" t="s">
        <v>577</v>
      </c>
      <c r="K516" t="s">
        <v>165</v>
      </c>
      <c r="L516">
        <v>5500000242</v>
      </c>
      <c r="M516" t="s">
        <v>634</v>
      </c>
    </row>
    <row r="517" spans="3:13">
      <c r="C517">
        <v>2100300025</v>
      </c>
      <c r="D517">
        <v>5831000</v>
      </c>
      <c r="E517" t="s">
        <v>188</v>
      </c>
      <c r="F517">
        <v>5105010109</v>
      </c>
      <c r="G517" s="13">
        <v>1353.1</v>
      </c>
      <c r="I517" t="s">
        <v>160</v>
      </c>
      <c r="J517" t="s">
        <v>579</v>
      </c>
      <c r="K517" t="s">
        <v>165</v>
      </c>
      <c r="L517">
        <v>5500000317</v>
      </c>
      <c r="M517" t="s">
        <v>635</v>
      </c>
    </row>
    <row r="518" spans="3:13">
      <c r="C518">
        <v>2100300025</v>
      </c>
      <c r="D518">
        <v>5831000</v>
      </c>
      <c r="E518" t="s">
        <v>188</v>
      </c>
      <c r="F518">
        <v>5105010109</v>
      </c>
      <c r="G518" s="13">
        <v>1272.94</v>
      </c>
      <c r="I518" t="s">
        <v>160</v>
      </c>
      <c r="J518" t="s">
        <v>581</v>
      </c>
      <c r="K518" t="s">
        <v>165</v>
      </c>
      <c r="L518">
        <v>5500000392</v>
      </c>
      <c r="M518" t="s">
        <v>636</v>
      </c>
    </row>
    <row r="519" spans="3:13">
      <c r="C519">
        <v>2100300025</v>
      </c>
      <c r="D519">
        <v>5831000</v>
      </c>
      <c r="E519" t="s">
        <v>188</v>
      </c>
      <c r="F519">
        <v>5105010109</v>
      </c>
      <c r="G519" s="13">
        <v>1315.38</v>
      </c>
      <c r="I519" t="s">
        <v>160</v>
      </c>
      <c r="J519" t="s">
        <v>583</v>
      </c>
      <c r="K519" t="s">
        <v>165</v>
      </c>
      <c r="L519">
        <v>5500000468</v>
      </c>
      <c r="M519" t="s">
        <v>637</v>
      </c>
    </row>
    <row r="520" spans="3:13">
      <c r="C520">
        <v>2100300025</v>
      </c>
      <c r="D520">
        <v>5831000</v>
      </c>
      <c r="E520" t="s">
        <v>188</v>
      </c>
      <c r="F520">
        <v>5105010109</v>
      </c>
      <c r="G520" s="13">
        <v>1272.97</v>
      </c>
      <c r="I520" t="s">
        <v>160</v>
      </c>
      <c r="J520" t="s">
        <v>585</v>
      </c>
      <c r="K520" t="s">
        <v>165</v>
      </c>
      <c r="L520">
        <v>5500000545</v>
      </c>
      <c r="M520" t="s">
        <v>638</v>
      </c>
    </row>
    <row r="521" spans="3:13">
      <c r="C521">
        <v>2100300025</v>
      </c>
      <c r="D521">
        <v>5831000</v>
      </c>
      <c r="E521" t="s">
        <v>188</v>
      </c>
      <c r="F521">
        <v>5105010109</v>
      </c>
      <c r="G521" s="13">
        <v>1315.38</v>
      </c>
      <c r="I521" t="s">
        <v>160</v>
      </c>
      <c r="J521" t="s">
        <v>587</v>
      </c>
      <c r="K521" t="s">
        <v>165</v>
      </c>
      <c r="L521">
        <v>5500000623</v>
      </c>
      <c r="M521" t="s">
        <v>642</v>
      </c>
    </row>
    <row r="522" spans="3:13">
      <c r="C522">
        <v>2100300025</v>
      </c>
      <c r="D522">
        <v>5831000</v>
      </c>
      <c r="E522" t="s">
        <v>188</v>
      </c>
      <c r="F522">
        <v>5105010109</v>
      </c>
      <c r="G522" s="13">
        <v>1315.38</v>
      </c>
      <c r="I522" t="s">
        <v>160</v>
      </c>
      <c r="J522" t="s">
        <v>589</v>
      </c>
      <c r="K522" t="s">
        <v>165</v>
      </c>
      <c r="L522">
        <v>5500000700</v>
      </c>
      <c r="M522" t="s">
        <v>643</v>
      </c>
    </row>
    <row r="523" spans="3:13">
      <c r="C523">
        <v>2100300025</v>
      </c>
      <c r="D523">
        <v>5831000</v>
      </c>
      <c r="E523" t="s">
        <v>188</v>
      </c>
      <c r="F523">
        <v>5105010109</v>
      </c>
      <c r="G523" s="13">
        <v>1272.96</v>
      </c>
      <c r="I523" t="s">
        <v>160</v>
      </c>
      <c r="J523" t="s">
        <v>591</v>
      </c>
      <c r="K523" t="s">
        <v>165</v>
      </c>
      <c r="L523">
        <v>5500000777</v>
      </c>
      <c r="M523" t="s">
        <v>641</v>
      </c>
    </row>
    <row r="524" spans="3:13">
      <c r="C524">
        <v>2100300025</v>
      </c>
      <c r="D524">
        <v>5811310</v>
      </c>
      <c r="E524" t="s">
        <v>196</v>
      </c>
      <c r="F524">
        <v>5105010109</v>
      </c>
      <c r="G524">
        <v>626.71</v>
      </c>
      <c r="I524" t="s">
        <v>160</v>
      </c>
      <c r="J524" t="s">
        <v>571</v>
      </c>
      <c r="K524" t="s">
        <v>165</v>
      </c>
      <c r="L524">
        <v>5500000021</v>
      </c>
      <c r="M524" t="s">
        <v>631</v>
      </c>
    </row>
    <row r="525" spans="3:13">
      <c r="C525">
        <v>2100300025</v>
      </c>
      <c r="D525">
        <v>5811310</v>
      </c>
      <c r="E525" t="s">
        <v>196</v>
      </c>
      <c r="F525">
        <v>5105010109</v>
      </c>
      <c r="G525">
        <v>318.5</v>
      </c>
      <c r="I525" t="s">
        <v>160</v>
      </c>
      <c r="J525" t="s">
        <v>573</v>
      </c>
      <c r="K525" t="s">
        <v>165</v>
      </c>
      <c r="L525">
        <v>5500000094</v>
      </c>
      <c r="M525" t="s">
        <v>632</v>
      </c>
    </row>
    <row r="526" spans="3:13">
      <c r="C526">
        <v>2100300025</v>
      </c>
      <c r="D526">
        <v>5811310</v>
      </c>
      <c r="E526" t="s">
        <v>196</v>
      </c>
      <c r="F526">
        <v>5105010109</v>
      </c>
      <c r="G526">
        <v>318.49</v>
      </c>
      <c r="I526" t="s">
        <v>160</v>
      </c>
      <c r="J526" t="s">
        <v>575</v>
      </c>
      <c r="K526" t="s">
        <v>165</v>
      </c>
      <c r="L526">
        <v>5500000167</v>
      </c>
      <c r="M526" t="s">
        <v>633</v>
      </c>
    </row>
    <row r="527" spans="3:13">
      <c r="C527">
        <v>2100300025</v>
      </c>
      <c r="D527">
        <v>5811310</v>
      </c>
      <c r="E527" t="s">
        <v>196</v>
      </c>
      <c r="F527">
        <v>5105010109</v>
      </c>
      <c r="G527">
        <v>287.67</v>
      </c>
      <c r="I527" t="s">
        <v>160</v>
      </c>
      <c r="J527" t="s">
        <v>577</v>
      </c>
      <c r="K527" t="s">
        <v>165</v>
      </c>
      <c r="L527">
        <v>5500000242</v>
      </c>
      <c r="M527" t="s">
        <v>634</v>
      </c>
    </row>
    <row r="528" spans="3:13">
      <c r="C528">
        <v>2100300025</v>
      </c>
      <c r="D528">
        <v>5811310</v>
      </c>
      <c r="E528" t="s">
        <v>196</v>
      </c>
      <c r="F528">
        <v>5105010109</v>
      </c>
      <c r="G528">
        <v>318.49</v>
      </c>
      <c r="I528" t="s">
        <v>160</v>
      </c>
      <c r="J528" t="s">
        <v>579</v>
      </c>
      <c r="K528" t="s">
        <v>165</v>
      </c>
      <c r="L528">
        <v>5500000317</v>
      </c>
      <c r="M528" t="s">
        <v>635</v>
      </c>
    </row>
    <row r="529" spans="3:13">
      <c r="C529">
        <v>2100300025</v>
      </c>
      <c r="D529">
        <v>5811310</v>
      </c>
      <c r="E529" t="s">
        <v>196</v>
      </c>
      <c r="F529">
        <v>5105010109</v>
      </c>
      <c r="G529">
        <v>308.22000000000003</v>
      </c>
      <c r="I529" t="s">
        <v>160</v>
      </c>
      <c r="J529" t="s">
        <v>581</v>
      </c>
      <c r="K529" t="s">
        <v>165</v>
      </c>
      <c r="L529">
        <v>5500000392</v>
      </c>
      <c r="M529" t="s">
        <v>636</v>
      </c>
    </row>
    <row r="530" spans="3:13">
      <c r="C530">
        <v>2100300025</v>
      </c>
      <c r="D530">
        <v>5811310</v>
      </c>
      <c r="E530" t="s">
        <v>196</v>
      </c>
      <c r="F530">
        <v>5105010109</v>
      </c>
      <c r="G530">
        <v>318.5</v>
      </c>
      <c r="I530" t="s">
        <v>160</v>
      </c>
      <c r="J530" t="s">
        <v>583</v>
      </c>
      <c r="K530" t="s">
        <v>165</v>
      </c>
      <c r="L530">
        <v>5500000468</v>
      </c>
      <c r="M530" t="s">
        <v>637</v>
      </c>
    </row>
    <row r="531" spans="3:13">
      <c r="C531">
        <v>2100300025</v>
      </c>
      <c r="D531">
        <v>5811310</v>
      </c>
      <c r="E531" t="s">
        <v>196</v>
      </c>
      <c r="F531">
        <v>5105010109</v>
      </c>
      <c r="G531">
        <v>308.20999999999998</v>
      </c>
      <c r="I531" t="s">
        <v>160</v>
      </c>
      <c r="J531" t="s">
        <v>585</v>
      </c>
      <c r="K531" t="s">
        <v>165</v>
      </c>
      <c r="L531">
        <v>5500000545</v>
      </c>
      <c r="M531" t="s">
        <v>638</v>
      </c>
    </row>
    <row r="532" spans="3:13">
      <c r="C532">
        <v>2100300025</v>
      </c>
      <c r="D532">
        <v>5811310</v>
      </c>
      <c r="E532" t="s">
        <v>196</v>
      </c>
      <c r="F532">
        <v>5105010109</v>
      </c>
      <c r="G532">
        <v>318.5</v>
      </c>
      <c r="I532" t="s">
        <v>160</v>
      </c>
      <c r="J532" t="s">
        <v>587</v>
      </c>
      <c r="K532" t="s">
        <v>165</v>
      </c>
      <c r="L532">
        <v>5500000622</v>
      </c>
      <c r="M532" t="s">
        <v>639</v>
      </c>
    </row>
    <row r="533" spans="3:13">
      <c r="C533">
        <v>2100300025</v>
      </c>
      <c r="D533">
        <v>5811310</v>
      </c>
      <c r="E533" t="s">
        <v>196</v>
      </c>
      <c r="F533">
        <v>5105010109</v>
      </c>
      <c r="G533">
        <v>318.49</v>
      </c>
      <c r="I533" t="s">
        <v>160</v>
      </c>
      <c r="J533" t="s">
        <v>589</v>
      </c>
      <c r="K533" t="s">
        <v>165</v>
      </c>
      <c r="L533">
        <v>5500000699</v>
      </c>
      <c r="M533" t="s">
        <v>640</v>
      </c>
    </row>
    <row r="534" spans="3:13">
      <c r="C534">
        <v>2100300025</v>
      </c>
      <c r="D534">
        <v>5811310</v>
      </c>
      <c r="E534" t="s">
        <v>196</v>
      </c>
      <c r="F534">
        <v>5105010109</v>
      </c>
      <c r="G534">
        <v>308.22000000000003</v>
      </c>
      <c r="I534" t="s">
        <v>160</v>
      </c>
      <c r="J534" t="s">
        <v>591</v>
      </c>
      <c r="K534" t="s">
        <v>165</v>
      </c>
      <c r="L534">
        <v>5500000777</v>
      </c>
      <c r="M534" t="s">
        <v>641</v>
      </c>
    </row>
    <row r="535" spans="3:13">
      <c r="C535">
        <v>2100300025</v>
      </c>
      <c r="D535">
        <v>5931000</v>
      </c>
      <c r="E535" t="s">
        <v>188</v>
      </c>
      <c r="F535">
        <v>5105010109</v>
      </c>
      <c r="G535" s="13">
        <v>4746.16</v>
      </c>
      <c r="I535" t="s">
        <v>160</v>
      </c>
      <c r="J535" t="s">
        <v>571</v>
      </c>
      <c r="K535" t="s">
        <v>165</v>
      </c>
      <c r="L535">
        <v>5500000021</v>
      </c>
      <c r="M535" t="s">
        <v>631</v>
      </c>
    </row>
    <row r="536" spans="3:13">
      <c r="C536">
        <v>2100300025</v>
      </c>
      <c r="D536">
        <v>5931000</v>
      </c>
      <c r="E536" t="s">
        <v>188</v>
      </c>
      <c r="F536">
        <v>5105010109</v>
      </c>
      <c r="G536" s="13">
        <v>2411.96</v>
      </c>
      <c r="I536" t="s">
        <v>160</v>
      </c>
      <c r="J536" t="s">
        <v>573</v>
      </c>
      <c r="K536" t="s">
        <v>165</v>
      </c>
      <c r="L536">
        <v>5500000094</v>
      </c>
      <c r="M536" t="s">
        <v>632</v>
      </c>
    </row>
    <row r="537" spans="3:13">
      <c r="C537">
        <v>2100300025</v>
      </c>
      <c r="D537">
        <v>5931000</v>
      </c>
      <c r="E537" t="s">
        <v>188</v>
      </c>
      <c r="F537">
        <v>5105010109</v>
      </c>
      <c r="G537" s="13">
        <v>2411.9699999999998</v>
      </c>
      <c r="I537" t="s">
        <v>160</v>
      </c>
      <c r="J537" t="s">
        <v>575</v>
      </c>
      <c r="K537" t="s">
        <v>165</v>
      </c>
      <c r="L537">
        <v>5500000167</v>
      </c>
      <c r="M537" t="s">
        <v>633</v>
      </c>
    </row>
    <row r="538" spans="3:13">
      <c r="C538">
        <v>2100300025</v>
      </c>
      <c r="D538">
        <v>5931000</v>
      </c>
      <c r="E538" t="s">
        <v>188</v>
      </c>
      <c r="F538">
        <v>5105010109</v>
      </c>
      <c r="G538" s="13">
        <v>2178.5500000000002</v>
      </c>
      <c r="I538" t="s">
        <v>160</v>
      </c>
      <c r="J538" t="s">
        <v>577</v>
      </c>
      <c r="K538" t="s">
        <v>165</v>
      </c>
      <c r="L538">
        <v>5500000242</v>
      </c>
      <c r="M538" t="s">
        <v>634</v>
      </c>
    </row>
    <row r="539" spans="3:13">
      <c r="C539">
        <v>2100300025</v>
      </c>
      <c r="D539">
        <v>5931000</v>
      </c>
      <c r="E539" t="s">
        <v>188</v>
      </c>
      <c r="F539">
        <v>5105010109</v>
      </c>
      <c r="G539" s="13">
        <v>2412</v>
      </c>
      <c r="I539" t="s">
        <v>160</v>
      </c>
      <c r="J539" t="s">
        <v>579</v>
      </c>
      <c r="K539" t="s">
        <v>165</v>
      </c>
      <c r="L539">
        <v>5500000317</v>
      </c>
      <c r="M539" t="s">
        <v>635</v>
      </c>
    </row>
    <row r="540" spans="3:13">
      <c r="C540">
        <v>2100300025</v>
      </c>
      <c r="D540">
        <v>5931000</v>
      </c>
      <c r="E540" t="s">
        <v>188</v>
      </c>
      <c r="F540">
        <v>5105010109</v>
      </c>
      <c r="G540" s="13">
        <v>2334.16</v>
      </c>
      <c r="I540" t="s">
        <v>160</v>
      </c>
      <c r="J540" t="s">
        <v>581</v>
      </c>
      <c r="K540" t="s">
        <v>165</v>
      </c>
      <c r="L540">
        <v>5500000392</v>
      </c>
      <c r="M540" t="s">
        <v>636</v>
      </c>
    </row>
    <row r="541" spans="3:13">
      <c r="C541">
        <v>2100300025</v>
      </c>
      <c r="D541">
        <v>5931000</v>
      </c>
      <c r="E541" t="s">
        <v>188</v>
      </c>
      <c r="F541">
        <v>5105010109</v>
      </c>
      <c r="G541" s="13">
        <v>2411.96</v>
      </c>
      <c r="I541" t="s">
        <v>160</v>
      </c>
      <c r="J541" t="s">
        <v>583</v>
      </c>
      <c r="K541" t="s">
        <v>165</v>
      </c>
      <c r="L541">
        <v>5500000468</v>
      </c>
      <c r="M541" t="s">
        <v>637</v>
      </c>
    </row>
    <row r="542" spans="3:13">
      <c r="C542">
        <v>2100300025</v>
      </c>
      <c r="D542">
        <v>5931000</v>
      </c>
      <c r="E542" t="s">
        <v>188</v>
      </c>
      <c r="F542">
        <v>5105010109</v>
      </c>
      <c r="G542" s="13">
        <v>2334.1799999999998</v>
      </c>
      <c r="I542" t="s">
        <v>160</v>
      </c>
      <c r="J542" t="s">
        <v>585</v>
      </c>
      <c r="K542" t="s">
        <v>165</v>
      </c>
      <c r="L542">
        <v>5500000545</v>
      </c>
      <c r="M542" t="s">
        <v>638</v>
      </c>
    </row>
    <row r="543" spans="3:13">
      <c r="C543">
        <v>2100300025</v>
      </c>
      <c r="D543">
        <v>5931000</v>
      </c>
      <c r="E543" t="s">
        <v>188</v>
      </c>
      <c r="F543">
        <v>5105010109</v>
      </c>
      <c r="G543" s="13">
        <v>2411.96</v>
      </c>
      <c r="I543" t="s">
        <v>160</v>
      </c>
      <c r="J543" t="s">
        <v>587</v>
      </c>
      <c r="K543" t="s">
        <v>165</v>
      </c>
      <c r="L543">
        <v>5500000623</v>
      </c>
      <c r="M543" t="s">
        <v>642</v>
      </c>
    </row>
    <row r="544" spans="3:13">
      <c r="C544">
        <v>2100300025</v>
      </c>
      <c r="D544">
        <v>5931000</v>
      </c>
      <c r="E544" t="s">
        <v>188</v>
      </c>
      <c r="F544">
        <v>5105010109</v>
      </c>
      <c r="G544" s="13">
        <v>2411.98</v>
      </c>
      <c r="I544" t="s">
        <v>160</v>
      </c>
      <c r="J544" t="s">
        <v>589</v>
      </c>
      <c r="K544" t="s">
        <v>165</v>
      </c>
      <c r="L544">
        <v>5500000700</v>
      </c>
      <c r="M544" t="s">
        <v>643</v>
      </c>
    </row>
    <row r="545" spans="3:13">
      <c r="C545">
        <v>2100300025</v>
      </c>
      <c r="D545">
        <v>5931000</v>
      </c>
      <c r="E545" t="s">
        <v>188</v>
      </c>
      <c r="F545">
        <v>5105010109</v>
      </c>
      <c r="G545" s="13">
        <v>2334.1799999999998</v>
      </c>
      <c r="I545" t="s">
        <v>160</v>
      </c>
      <c r="J545" t="s">
        <v>591</v>
      </c>
      <c r="K545" t="s">
        <v>165</v>
      </c>
      <c r="L545">
        <v>5500000777</v>
      </c>
      <c r="M545" t="s">
        <v>641</v>
      </c>
    </row>
    <row r="546" spans="3:13">
      <c r="C546">
        <v>2100300025</v>
      </c>
      <c r="D546">
        <v>5926000</v>
      </c>
      <c r="E546" t="s">
        <v>188</v>
      </c>
      <c r="F546">
        <v>5105010109</v>
      </c>
      <c r="G546" s="13">
        <v>27786.13</v>
      </c>
      <c r="I546" t="s">
        <v>160</v>
      </c>
      <c r="J546" t="s">
        <v>571</v>
      </c>
      <c r="K546" t="s">
        <v>165</v>
      </c>
      <c r="L546">
        <v>5500000021</v>
      </c>
      <c r="M546" t="s">
        <v>631</v>
      </c>
    </row>
    <row r="547" spans="3:13">
      <c r="C547">
        <v>2100300025</v>
      </c>
      <c r="D547">
        <v>5926000</v>
      </c>
      <c r="E547" t="s">
        <v>188</v>
      </c>
      <c r="F547">
        <v>5105010109</v>
      </c>
      <c r="G547" s="13">
        <v>14120.74</v>
      </c>
      <c r="I547" t="s">
        <v>160</v>
      </c>
      <c r="J547" t="s">
        <v>573</v>
      </c>
      <c r="K547" t="s">
        <v>165</v>
      </c>
      <c r="L547">
        <v>5500000094</v>
      </c>
      <c r="M547" t="s">
        <v>632</v>
      </c>
    </row>
    <row r="548" spans="3:13">
      <c r="C548">
        <v>2100300025</v>
      </c>
      <c r="D548">
        <v>5926000</v>
      </c>
      <c r="E548" t="s">
        <v>188</v>
      </c>
      <c r="F548">
        <v>5105010109</v>
      </c>
      <c r="G548" s="13">
        <v>14120.86</v>
      </c>
      <c r="I548" t="s">
        <v>160</v>
      </c>
      <c r="J548" t="s">
        <v>575</v>
      </c>
      <c r="K548" t="s">
        <v>165</v>
      </c>
      <c r="L548">
        <v>5500000167</v>
      </c>
      <c r="M548" t="s">
        <v>633</v>
      </c>
    </row>
    <row r="549" spans="3:13">
      <c r="C549">
        <v>2100300025</v>
      </c>
      <c r="D549">
        <v>5926000</v>
      </c>
      <c r="E549" t="s">
        <v>188</v>
      </c>
      <c r="F549">
        <v>5105010109</v>
      </c>
      <c r="G549" s="13">
        <v>12754.23</v>
      </c>
      <c r="I549" t="s">
        <v>160</v>
      </c>
      <c r="J549" t="s">
        <v>577</v>
      </c>
      <c r="K549" t="s">
        <v>165</v>
      </c>
      <c r="L549">
        <v>5500000242</v>
      </c>
      <c r="M549" t="s">
        <v>634</v>
      </c>
    </row>
    <row r="550" spans="3:13">
      <c r="C550">
        <v>2100300025</v>
      </c>
      <c r="D550">
        <v>5926000</v>
      </c>
      <c r="E550" t="s">
        <v>188</v>
      </c>
      <c r="F550">
        <v>5105010109</v>
      </c>
      <c r="G550" s="13">
        <v>14120.72</v>
      </c>
      <c r="I550" t="s">
        <v>160</v>
      </c>
      <c r="J550" t="s">
        <v>579</v>
      </c>
      <c r="K550" t="s">
        <v>165</v>
      </c>
      <c r="L550">
        <v>5500000317</v>
      </c>
      <c r="M550" t="s">
        <v>635</v>
      </c>
    </row>
    <row r="551" spans="3:13">
      <c r="C551">
        <v>2100300025</v>
      </c>
      <c r="D551">
        <v>5926000</v>
      </c>
      <c r="E551" t="s">
        <v>188</v>
      </c>
      <c r="F551">
        <v>5105010109</v>
      </c>
      <c r="G551" s="13">
        <v>13665.37</v>
      </c>
      <c r="I551" t="s">
        <v>160</v>
      </c>
      <c r="J551" t="s">
        <v>581</v>
      </c>
      <c r="K551" t="s">
        <v>165</v>
      </c>
      <c r="L551">
        <v>5500000392</v>
      </c>
      <c r="M551" t="s">
        <v>636</v>
      </c>
    </row>
    <row r="552" spans="3:13">
      <c r="C552">
        <v>2100300025</v>
      </c>
      <c r="D552">
        <v>5926000</v>
      </c>
      <c r="E552" t="s">
        <v>188</v>
      </c>
      <c r="F552">
        <v>5105010109</v>
      </c>
      <c r="G552" s="13">
        <v>14120.84</v>
      </c>
      <c r="I552" t="s">
        <v>160</v>
      </c>
      <c r="J552" t="s">
        <v>583</v>
      </c>
      <c r="K552" t="s">
        <v>165</v>
      </c>
      <c r="L552">
        <v>5500000468</v>
      </c>
      <c r="M552" t="s">
        <v>637</v>
      </c>
    </row>
    <row r="553" spans="3:13">
      <c r="C553">
        <v>2100300025</v>
      </c>
      <c r="D553">
        <v>5926000</v>
      </c>
      <c r="E553" t="s">
        <v>188</v>
      </c>
      <c r="F553">
        <v>5105010109</v>
      </c>
      <c r="G553" s="13">
        <v>13665.29</v>
      </c>
      <c r="I553" t="s">
        <v>160</v>
      </c>
      <c r="J553" t="s">
        <v>585</v>
      </c>
      <c r="K553" t="s">
        <v>165</v>
      </c>
      <c r="L553">
        <v>5500000545</v>
      </c>
      <c r="M553" t="s">
        <v>638</v>
      </c>
    </row>
    <row r="554" spans="3:13">
      <c r="C554">
        <v>2100300025</v>
      </c>
      <c r="D554">
        <v>5926000</v>
      </c>
      <c r="E554" t="s">
        <v>188</v>
      </c>
      <c r="F554">
        <v>5105010109</v>
      </c>
      <c r="G554" s="13">
        <v>14120.74</v>
      </c>
      <c r="I554" t="s">
        <v>160</v>
      </c>
      <c r="J554" t="s">
        <v>587</v>
      </c>
      <c r="K554" t="s">
        <v>165</v>
      </c>
      <c r="L554">
        <v>5500000623</v>
      </c>
      <c r="M554" t="s">
        <v>642</v>
      </c>
    </row>
    <row r="555" spans="3:13">
      <c r="C555">
        <v>2100300025</v>
      </c>
      <c r="D555">
        <v>5926000</v>
      </c>
      <c r="E555" t="s">
        <v>188</v>
      </c>
      <c r="F555">
        <v>5105010109</v>
      </c>
      <c r="G555" s="13">
        <v>14120.83</v>
      </c>
      <c r="I555" t="s">
        <v>160</v>
      </c>
      <c r="J555" t="s">
        <v>589</v>
      </c>
      <c r="K555" t="s">
        <v>165</v>
      </c>
      <c r="L555">
        <v>5500000700</v>
      </c>
      <c r="M555" t="s">
        <v>643</v>
      </c>
    </row>
    <row r="556" spans="3:13">
      <c r="C556">
        <v>2100300025</v>
      </c>
      <c r="D556">
        <v>5926000</v>
      </c>
      <c r="E556" t="s">
        <v>188</v>
      </c>
      <c r="F556">
        <v>5105010109</v>
      </c>
      <c r="G556" s="13">
        <v>13665.3</v>
      </c>
      <c r="I556" t="s">
        <v>160</v>
      </c>
      <c r="J556" t="s">
        <v>591</v>
      </c>
      <c r="K556" t="s">
        <v>165</v>
      </c>
      <c r="L556">
        <v>5500000777</v>
      </c>
      <c r="M556" t="s">
        <v>641</v>
      </c>
    </row>
    <row r="557" spans="3:13">
      <c r="C557">
        <v>2100300025</v>
      </c>
      <c r="D557">
        <v>5911310</v>
      </c>
      <c r="E557" t="s">
        <v>197</v>
      </c>
      <c r="F557">
        <v>5105010109</v>
      </c>
      <c r="G557">
        <v>353.09</v>
      </c>
      <c r="I557" t="s">
        <v>160</v>
      </c>
      <c r="J557" t="s">
        <v>571</v>
      </c>
      <c r="K557" t="s">
        <v>165</v>
      </c>
      <c r="L557">
        <v>5500000021</v>
      </c>
      <c r="M557" t="s">
        <v>631</v>
      </c>
    </row>
    <row r="558" spans="3:13">
      <c r="C558">
        <v>2100300025</v>
      </c>
      <c r="D558">
        <v>5911310</v>
      </c>
      <c r="E558" t="s">
        <v>197</v>
      </c>
      <c r="F558">
        <v>5105010109</v>
      </c>
      <c r="G558">
        <v>179.44</v>
      </c>
      <c r="I558" t="s">
        <v>160</v>
      </c>
      <c r="J558" t="s">
        <v>573</v>
      </c>
      <c r="K558" t="s">
        <v>165</v>
      </c>
      <c r="L558">
        <v>5500000094</v>
      </c>
      <c r="M558" t="s">
        <v>632</v>
      </c>
    </row>
    <row r="559" spans="3:13">
      <c r="C559">
        <v>2100300025</v>
      </c>
      <c r="D559">
        <v>5911310</v>
      </c>
      <c r="E559" t="s">
        <v>197</v>
      </c>
      <c r="F559">
        <v>5105010109</v>
      </c>
      <c r="G559">
        <v>179.44</v>
      </c>
      <c r="I559" t="s">
        <v>160</v>
      </c>
      <c r="J559" t="s">
        <v>575</v>
      </c>
      <c r="K559" t="s">
        <v>165</v>
      </c>
      <c r="L559">
        <v>5500000167</v>
      </c>
      <c r="M559" t="s">
        <v>633</v>
      </c>
    </row>
    <row r="560" spans="3:13">
      <c r="C560">
        <v>2100300025</v>
      </c>
      <c r="D560">
        <v>5911310</v>
      </c>
      <c r="E560" t="s">
        <v>197</v>
      </c>
      <c r="F560">
        <v>5105010109</v>
      </c>
      <c r="G560">
        <v>162.08000000000001</v>
      </c>
      <c r="I560" t="s">
        <v>160</v>
      </c>
      <c r="J560" t="s">
        <v>577</v>
      </c>
      <c r="K560" t="s">
        <v>165</v>
      </c>
      <c r="L560">
        <v>5500000242</v>
      </c>
      <c r="M560" t="s">
        <v>634</v>
      </c>
    </row>
    <row r="561" spans="3:13">
      <c r="C561">
        <v>2100300025</v>
      </c>
      <c r="D561">
        <v>5911310</v>
      </c>
      <c r="E561" t="s">
        <v>197</v>
      </c>
      <c r="F561">
        <v>5105010109</v>
      </c>
      <c r="G561">
        <v>179.44</v>
      </c>
      <c r="I561" t="s">
        <v>160</v>
      </c>
      <c r="J561" t="s">
        <v>579</v>
      </c>
      <c r="K561" t="s">
        <v>165</v>
      </c>
      <c r="L561">
        <v>5500000317</v>
      </c>
      <c r="M561" t="s">
        <v>635</v>
      </c>
    </row>
    <row r="562" spans="3:13">
      <c r="C562">
        <v>2100300025</v>
      </c>
      <c r="D562">
        <v>5911310</v>
      </c>
      <c r="E562" t="s">
        <v>197</v>
      </c>
      <c r="F562">
        <v>5105010109</v>
      </c>
      <c r="G562">
        <v>173.65</v>
      </c>
      <c r="I562" t="s">
        <v>160</v>
      </c>
      <c r="J562" t="s">
        <v>581</v>
      </c>
      <c r="K562" t="s">
        <v>165</v>
      </c>
      <c r="L562">
        <v>5500000392</v>
      </c>
      <c r="M562" t="s">
        <v>636</v>
      </c>
    </row>
    <row r="563" spans="3:13">
      <c r="C563">
        <v>2100300025</v>
      </c>
      <c r="D563">
        <v>5911310</v>
      </c>
      <c r="E563" t="s">
        <v>197</v>
      </c>
      <c r="F563">
        <v>5105010109</v>
      </c>
      <c r="G563">
        <v>179.44</v>
      </c>
      <c r="I563" t="s">
        <v>160</v>
      </c>
      <c r="J563" t="s">
        <v>583</v>
      </c>
      <c r="K563" t="s">
        <v>165</v>
      </c>
      <c r="L563">
        <v>5500000468</v>
      </c>
      <c r="M563" t="s">
        <v>637</v>
      </c>
    </row>
    <row r="564" spans="3:13">
      <c r="C564">
        <v>2100300025</v>
      </c>
      <c r="D564">
        <v>5911310</v>
      </c>
      <c r="E564" t="s">
        <v>197</v>
      </c>
      <c r="F564">
        <v>5105010109</v>
      </c>
      <c r="G564">
        <v>173.66</v>
      </c>
      <c r="I564" t="s">
        <v>160</v>
      </c>
      <c r="J564" t="s">
        <v>585</v>
      </c>
      <c r="K564" t="s">
        <v>165</v>
      </c>
      <c r="L564">
        <v>5500000545</v>
      </c>
      <c r="M564" t="s">
        <v>638</v>
      </c>
    </row>
    <row r="565" spans="3:13">
      <c r="C565">
        <v>2100300025</v>
      </c>
      <c r="D565">
        <v>5911310</v>
      </c>
      <c r="E565" t="s">
        <v>197</v>
      </c>
      <c r="F565">
        <v>5105010109</v>
      </c>
      <c r="G565">
        <v>179.44</v>
      </c>
      <c r="I565" t="s">
        <v>160</v>
      </c>
      <c r="J565" t="s">
        <v>587</v>
      </c>
      <c r="K565" t="s">
        <v>165</v>
      </c>
      <c r="L565">
        <v>5500000622</v>
      </c>
      <c r="M565" t="s">
        <v>639</v>
      </c>
    </row>
    <row r="566" spans="3:13">
      <c r="C566">
        <v>2100300025</v>
      </c>
      <c r="D566">
        <v>5911310</v>
      </c>
      <c r="E566" t="s">
        <v>197</v>
      </c>
      <c r="F566">
        <v>5105010109</v>
      </c>
      <c r="G566">
        <v>179.44</v>
      </c>
      <c r="I566" t="s">
        <v>160</v>
      </c>
      <c r="J566" t="s">
        <v>589</v>
      </c>
      <c r="K566" t="s">
        <v>165</v>
      </c>
      <c r="L566">
        <v>5500000699</v>
      </c>
      <c r="M566" t="s">
        <v>640</v>
      </c>
    </row>
    <row r="567" spans="3:13">
      <c r="C567">
        <v>2100300025</v>
      </c>
      <c r="D567">
        <v>5911310</v>
      </c>
      <c r="E567" t="s">
        <v>197</v>
      </c>
      <c r="F567">
        <v>5105010109</v>
      </c>
      <c r="G567">
        <v>173.65</v>
      </c>
      <c r="I567" t="s">
        <v>160</v>
      </c>
      <c r="J567" t="s">
        <v>591</v>
      </c>
      <c r="K567" t="s">
        <v>165</v>
      </c>
      <c r="L567">
        <v>5500000777</v>
      </c>
      <c r="M567" t="s">
        <v>641</v>
      </c>
    </row>
    <row r="568" spans="3:13">
      <c r="C568">
        <v>2100300025</v>
      </c>
      <c r="D568">
        <v>6031000</v>
      </c>
      <c r="E568" t="s">
        <v>188</v>
      </c>
      <c r="F568">
        <v>5105010109</v>
      </c>
      <c r="G568" s="13">
        <v>1524.98</v>
      </c>
      <c r="I568" t="s">
        <v>160</v>
      </c>
      <c r="J568" t="s">
        <v>571</v>
      </c>
      <c r="K568" t="s">
        <v>165</v>
      </c>
      <c r="L568">
        <v>5500000021</v>
      </c>
      <c r="M568" t="s">
        <v>631</v>
      </c>
    </row>
    <row r="569" spans="3:13">
      <c r="C569">
        <v>2100300025</v>
      </c>
      <c r="D569">
        <v>6031000</v>
      </c>
      <c r="E569" t="s">
        <v>188</v>
      </c>
      <c r="F569">
        <v>5105010109</v>
      </c>
      <c r="G569">
        <v>775.03</v>
      </c>
      <c r="I569" t="s">
        <v>160</v>
      </c>
      <c r="J569" t="s">
        <v>573</v>
      </c>
      <c r="K569" t="s">
        <v>165</v>
      </c>
      <c r="L569">
        <v>5500000094</v>
      </c>
      <c r="M569" t="s">
        <v>632</v>
      </c>
    </row>
    <row r="570" spans="3:13">
      <c r="C570">
        <v>2100300025</v>
      </c>
      <c r="D570">
        <v>6031000</v>
      </c>
      <c r="E570" t="s">
        <v>188</v>
      </c>
      <c r="F570">
        <v>5105010109</v>
      </c>
      <c r="G570">
        <v>774.97</v>
      </c>
      <c r="I570" t="s">
        <v>160</v>
      </c>
      <c r="J570" t="s">
        <v>575</v>
      </c>
      <c r="K570" t="s">
        <v>165</v>
      </c>
      <c r="L570">
        <v>5500000167</v>
      </c>
      <c r="M570" t="s">
        <v>633</v>
      </c>
    </row>
    <row r="571" spans="3:13">
      <c r="C571">
        <v>2100300025</v>
      </c>
      <c r="D571">
        <v>6031000</v>
      </c>
      <c r="E571" t="s">
        <v>188</v>
      </c>
      <c r="F571">
        <v>5105010109</v>
      </c>
      <c r="G571">
        <v>700.04</v>
      </c>
      <c r="I571" t="s">
        <v>160</v>
      </c>
      <c r="J571" t="s">
        <v>577</v>
      </c>
      <c r="K571" t="s">
        <v>165</v>
      </c>
      <c r="L571">
        <v>5500000242</v>
      </c>
      <c r="M571" t="s">
        <v>634</v>
      </c>
    </row>
    <row r="572" spans="3:13">
      <c r="C572">
        <v>2100300025</v>
      </c>
      <c r="D572">
        <v>6031000</v>
      </c>
      <c r="E572" t="s">
        <v>188</v>
      </c>
      <c r="F572">
        <v>5105010109</v>
      </c>
      <c r="G572">
        <v>774.98</v>
      </c>
      <c r="I572" t="s">
        <v>160</v>
      </c>
      <c r="J572" t="s">
        <v>579</v>
      </c>
      <c r="K572" t="s">
        <v>165</v>
      </c>
      <c r="L572">
        <v>5500000317</v>
      </c>
      <c r="M572" t="s">
        <v>635</v>
      </c>
    </row>
    <row r="573" spans="3:13">
      <c r="C573">
        <v>2100300025</v>
      </c>
      <c r="D573">
        <v>6031000</v>
      </c>
      <c r="E573" t="s">
        <v>188</v>
      </c>
      <c r="F573">
        <v>5105010109</v>
      </c>
      <c r="G573">
        <v>750</v>
      </c>
      <c r="I573" t="s">
        <v>160</v>
      </c>
      <c r="J573" t="s">
        <v>581</v>
      </c>
      <c r="K573" t="s">
        <v>165</v>
      </c>
      <c r="L573">
        <v>5500000393</v>
      </c>
      <c r="M573" t="s">
        <v>644</v>
      </c>
    </row>
    <row r="574" spans="3:13">
      <c r="C574">
        <v>2100300025</v>
      </c>
      <c r="D574">
        <v>6031000</v>
      </c>
      <c r="E574" t="s">
        <v>188</v>
      </c>
      <c r="F574">
        <v>5105010109</v>
      </c>
      <c r="G574">
        <v>774.98</v>
      </c>
      <c r="I574" t="s">
        <v>160</v>
      </c>
      <c r="J574" t="s">
        <v>583</v>
      </c>
      <c r="K574" t="s">
        <v>165</v>
      </c>
      <c r="L574">
        <v>5500000469</v>
      </c>
      <c r="M574" t="s">
        <v>645</v>
      </c>
    </row>
    <row r="575" spans="3:13">
      <c r="C575">
        <v>2100300025</v>
      </c>
      <c r="D575">
        <v>6031000</v>
      </c>
      <c r="E575" t="s">
        <v>188</v>
      </c>
      <c r="F575">
        <v>5105010109</v>
      </c>
      <c r="G575">
        <v>750.01</v>
      </c>
      <c r="I575" t="s">
        <v>160</v>
      </c>
      <c r="J575" t="s">
        <v>585</v>
      </c>
      <c r="K575" t="s">
        <v>165</v>
      </c>
      <c r="L575">
        <v>5500000546</v>
      </c>
      <c r="M575" t="s">
        <v>646</v>
      </c>
    </row>
    <row r="576" spans="3:13">
      <c r="C576">
        <v>2100300025</v>
      </c>
      <c r="D576">
        <v>6031000</v>
      </c>
      <c r="E576" t="s">
        <v>188</v>
      </c>
      <c r="F576">
        <v>5105010109</v>
      </c>
      <c r="G576">
        <v>775.03</v>
      </c>
      <c r="I576" t="s">
        <v>160</v>
      </c>
      <c r="J576" t="s">
        <v>587</v>
      </c>
      <c r="K576" t="s">
        <v>165</v>
      </c>
      <c r="L576">
        <v>5500000623</v>
      </c>
      <c r="M576" t="s">
        <v>642</v>
      </c>
    </row>
    <row r="577" spans="3:13">
      <c r="C577">
        <v>2100300025</v>
      </c>
      <c r="D577">
        <v>6031000</v>
      </c>
      <c r="E577" t="s">
        <v>188</v>
      </c>
      <c r="F577">
        <v>5105010109</v>
      </c>
      <c r="G577">
        <v>774.97</v>
      </c>
      <c r="I577" t="s">
        <v>160</v>
      </c>
      <c r="J577" t="s">
        <v>589</v>
      </c>
      <c r="K577" t="s">
        <v>165</v>
      </c>
      <c r="L577">
        <v>5500000700</v>
      </c>
      <c r="M577" t="s">
        <v>643</v>
      </c>
    </row>
    <row r="578" spans="3:13">
      <c r="C578">
        <v>2100300025</v>
      </c>
      <c r="D578">
        <v>6031000</v>
      </c>
      <c r="E578" t="s">
        <v>188</v>
      </c>
      <c r="F578">
        <v>5105010109</v>
      </c>
      <c r="G578">
        <v>750.01</v>
      </c>
      <c r="I578" t="s">
        <v>160</v>
      </c>
      <c r="J578" t="s">
        <v>591</v>
      </c>
      <c r="K578" t="s">
        <v>165</v>
      </c>
      <c r="L578">
        <v>5500000777</v>
      </c>
      <c r="M578" t="s">
        <v>641</v>
      </c>
    </row>
    <row r="579" spans="3:13">
      <c r="C579">
        <v>2100300025</v>
      </c>
      <c r="D579">
        <v>6026000</v>
      </c>
      <c r="E579" t="s">
        <v>188</v>
      </c>
      <c r="F579">
        <v>5105010109</v>
      </c>
      <c r="G579" s="13">
        <v>11972.46</v>
      </c>
      <c r="I579" t="s">
        <v>160</v>
      </c>
      <c r="J579" t="s">
        <v>571</v>
      </c>
      <c r="K579" t="s">
        <v>165</v>
      </c>
      <c r="L579">
        <v>5500000021</v>
      </c>
      <c r="M579" t="s">
        <v>631</v>
      </c>
    </row>
    <row r="580" spans="3:13">
      <c r="C580">
        <v>2100300025</v>
      </c>
      <c r="D580">
        <v>6026000</v>
      </c>
      <c r="E580" t="s">
        <v>188</v>
      </c>
      <c r="F580">
        <v>5105010109</v>
      </c>
      <c r="G580" s="13">
        <v>6084.44</v>
      </c>
      <c r="I580" t="s">
        <v>160</v>
      </c>
      <c r="J580" t="s">
        <v>573</v>
      </c>
      <c r="K580" t="s">
        <v>165</v>
      </c>
      <c r="L580">
        <v>5500000094</v>
      </c>
      <c r="M580" t="s">
        <v>632</v>
      </c>
    </row>
    <row r="581" spans="3:13">
      <c r="C581">
        <v>2100300025</v>
      </c>
      <c r="D581">
        <v>6026000</v>
      </c>
      <c r="E581" t="s">
        <v>188</v>
      </c>
      <c r="F581">
        <v>5105010109</v>
      </c>
      <c r="G581" s="13">
        <v>6084.36</v>
      </c>
      <c r="I581" t="s">
        <v>160</v>
      </c>
      <c r="J581" t="s">
        <v>575</v>
      </c>
      <c r="K581" t="s">
        <v>165</v>
      </c>
      <c r="L581">
        <v>5500000167</v>
      </c>
      <c r="M581" t="s">
        <v>633</v>
      </c>
    </row>
    <row r="582" spans="3:13">
      <c r="C582">
        <v>2100300025</v>
      </c>
      <c r="D582">
        <v>6026000</v>
      </c>
      <c r="E582" t="s">
        <v>188</v>
      </c>
      <c r="F582">
        <v>5105010109</v>
      </c>
      <c r="G582" s="13">
        <v>5495.55</v>
      </c>
      <c r="I582" t="s">
        <v>160</v>
      </c>
      <c r="J582" t="s">
        <v>577</v>
      </c>
      <c r="K582" t="s">
        <v>165</v>
      </c>
      <c r="L582">
        <v>5500000242</v>
      </c>
      <c r="M582" t="s">
        <v>634</v>
      </c>
    </row>
    <row r="583" spans="3:13">
      <c r="C583">
        <v>2100300025</v>
      </c>
      <c r="D583">
        <v>6026000</v>
      </c>
      <c r="E583" t="s">
        <v>188</v>
      </c>
      <c r="F583">
        <v>5105010109</v>
      </c>
      <c r="G583" s="13">
        <v>6084.36</v>
      </c>
      <c r="I583" t="s">
        <v>160</v>
      </c>
      <c r="J583" t="s">
        <v>579</v>
      </c>
      <c r="K583" t="s">
        <v>165</v>
      </c>
      <c r="L583">
        <v>5500000317</v>
      </c>
      <c r="M583" t="s">
        <v>635</v>
      </c>
    </row>
    <row r="584" spans="3:13">
      <c r="C584">
        <v>2100300025</v>
      </c>
      <c r="D584">
        <v>6026000</v>
      </c>
      <c r="E584" t="s">
        <v>188</v>
      </c>
      <c r="F584">
        <v>5105010109</v>
      </c>
      <c r="G584" s="13">
        <v>5888.13</v>
      </c>
      <c r="I584" t="s">
        <v>160</v>
      </c>
      <c r="J584" t="s">
        <v>581</v>
      </c>
      <c r="K584" t="s">
        <v>165</v>
      </c>
      <c r="L584">
        <v>5500000392</v>
      </c>
      <c r="M584" t="s">
        <v>636</v>
      </c>
    </row>
    <row r="585" spans="3:13">
      <c r="C585">
        <v>2100300025</v>
      </c>
      <c r="D585">
        <v>6026000</v>
      </c>
      <c r="E585" t="s">
        <v>188</v>
      </c>
      <c r="F585">
        <v>5105010109</v>
      </c>
      <c r="G585" s="13">
        <v>6084.34</v>
      </c>
      <c r="I585" t="s">
        <v>160</v>
      </c>
      <c r="J585" t="s">
        <v>583</v>
      </c>
      <c r="K585" t="s">
        <v>165</v>
      </c>
      <c r="L585">
        <v>5500000469</v>
      </c>
      <c r="M585" t="s">
        <v>645</v>
      </c>
    </row>
    <row r="586" spans="3:13">
      <c r="C586">
        <v>2100300025</v>
      </c>
      <c r="D586">
        <v>6026000</v>
      </c>
      <c r="E586" t="s">
        <v>188</v>
      </c>
      <c r="F586">
        <v>5105010109</v>
      </c>
      <c r="G586" s="13">
        <v>5888.1</v>
      </c>
      <c r="I586" t="s">
        <v>160</v>
      </c>
      <c r="J586" t="s">
        <v>585</v>
      </c>
      <c r="K586" t="s">
        <v>165</v>
      </c>
      <c r="L586">
        <v>5500000546</v>
      </c>
      <c r="M586" t="s">
        <v>646</v>
      </c>
    </row>
    <row r="587" spans="3:13">
      <c r="C587">
        <v>2100300025</v>
      </c>
      <c r="D587">
        <v>6026000</v>
      </c>
      <c r="E587" t="s">
        <v>188</v>
      </c>
      <c r="F587">
        <v>5105010109</v>
      </c>
      <c r="G587" s="13">
        <v>6084.44</v>
      </c>
      <c r="I587" t="s">
        <v>160</v>
      </c>
      <c r="J587" t="s">
        <v>587</v>
      </c>
      <c r="K587" t="s">
        <v>165</v>
      </c>
      <c r="L587">
        <v>5500000623</v>
      </c>
      <c r="M587" t="s">
        <v>642</v>
      </c>
    </row>
    <row r="588" spans="3:13">
      <c r="C588">
        <v>2100300025</v>
      </c>
      <c r="D588">
        <v>6026000</v>
      </c>
      <c r="E588" t="s">
        <v>188</v>
      </c>
      <c r="F588">
        <v>5105010109</v>
      </c>
      <c r="G588" s="13">
        <v>6076.27</v>
      </c>
      <c r="I588" t="s">
        <v>160</v>
      </c>
      <c r="J588" t="s">
        <v>589</v>
      </c>
      <c r="K588" t="s">
        <v>165</v>
      </c>
      <c r="L588">
        <v>5500000700</v>
      </c>
      <c r="M588" t="s">
        <v>643</v>
      </c>
    </row>
    <row r="589" spans="3:13">
      <c r="C589">
        <v>2100300025</v>
      </c>
      <c r="D589">
        <v>6026000</v>
      </c>
      <c r="E589" t="s">
        <v>188</v>
      </c>
      <c r="F589">
        <v>5105010109</v>
      </c>
      <c r="G589" s="13">
        <v>5766.87</v>
      </c>
      <c r="I589" t="s">
        <v>160</v>
      </c>
      <c r="J589" t="s">
        <v>591</v>
      </c>
      <c r="K589" t="s">
        <v>165</v>
      </c>
      <c r="L589">
        <v>5500000777</v>
      </c>
      <c r="M589" t="s">
        <v>641</v>
      </c>
    </row>
    <row r="590" spans="3:13">
      <c r="C590">
        <v>2100300025</v>
      </c>
      <c r="D590">
        <v>6011310</v>
      </c>
      <c r="E590" t="s">
        <v>198</v>
      </c>
      <c r="F590">
        <v>5105010109</v>
      </c>
      <c r="G590" s="13">
        <v>3369.72</v>
      </c>
      <c r="I590" t="s">
        <v>160</v>
      </c>
      <c r="J590" t="s">
        <v>571</v>
      </c>
      <c r="K590" t="s">
        <v>165</v>
      </c>
      <c r="L590">
        <v>5500000021</v>
      </c>
      <c r="M590" t="s">
        <v>631</v>
      </c>
    </row>
    <row r="591" spans="3:13">
      <c r="C591">
        <v>2100300025</v>
      </c>
      <c r="D591">
        <v>6011310</v>
      </c>
      <c r="E591" t="s">
        <v>198</v>
      </c>
      <c r="F591">
        <v>5105010109</v>
      </c>
      <c r="G591" s="13">
        <v>1712.42</v>
      </c>
      <c r="I591" t="s">
        <v>160</v>
      </c>
      <c r="J591" t="s">
        <v>573</v>
      </c>
      <c r="K591" t="s">
        <v>165</v>
      </c>
      <c r="L591">
        <v>5500000094</v>
      </c>
      <c r="M591" t="s">
        <v>632</v>
      </c>
    </row>
    <row r="592" spans="3:13">
      <c r="C592">
        <v>2100300025</v>
      </c>
      <c r="D592">
        <v>6011310</v>
      </c>
      <c r="E592" t="s">
        <v>198</v>
      </c>
      <c r="F592">
        <v>5105010109</v>
      </c>
      <c r="G592" s="13">
        <v>1712.5</v>
      </c>
      <c r="I592" t="s">
        <v>160</v>
      </c>
      <c r="J592" t="s">
        <v>575</v>
      </c>
      <c r="K592" t="s">
        <v>165</v>
      </c>
      <c r="L592">
        <v>5500000167</v>
      </c>
      <c r="M592" t="s">
        <v>633</v>
      </c>
    </row>
    <row r="593" spans="3:13">
      <c r="C593">
        <v>2100300025</v>
      </c>
      <c r="D593">
        <v>6011310</v>
      </c>
      <c r="E593" t="s">
        <v>198</v>
      </c>
      <c r="F593">
        <v>5105010109</v>
      </c>
      <c r="G593" s="13">
        <v>1546.76</v>
      </c>
      <c r="I593" t="s">
        <v>160</v>
      </c>
      <c r="J593" t="s">
        <v>577</v>
      </c>
      <c r="K593" t="s">
        <v>165</v>
      </c>
      <c r="L593">
        <v>5500000242</v>
      </c>
      <c r="M593" t="s">
        <v>634</v>
      </c>
    </row>
    <row r="594" spans="3:13">
      <c r="C594">
        <v>2100300025</v>
      </c>
      <c r="D594">
        <v>6011310</v>
      </c>
      <c r="E594" t="s">
        <v>198</v>
      </c>
      <c r="F594">
        <v>5105010109</v>
      </c>
      <c r="G594" s="13">
        <v>1712.42</v>
      </c>
      <c r="I594" t="s">
        <v>160</v>
      </c>
      <c r="J594" t="s">
        <v>579</v>
      </c>
      <c r="K594" t="s">
        <v>165</v>
      </c>
      <c r="L594">
        <v>5500000317</v>
      </c>
      <c r="M594" t="s">
        <v>635</v>
      </c>
    </row>
    <row r="595" spans="3:13">
      <c r="C595">
        <v>2100300025</v>
      </c>
      <c r="D595">
        <v>6011310</v>
      </c>
      <c r="E595" t="s">
        <v>198</v>
      </c>
      <c r="F595">
        <v>5105010109</v>
      </c>
      <c r="G595" s="13">
        <v>1657.3</v>
      </c>
      <c r="I595" t="s">
        <v>160</v>
      </c>
      <c r="J595" t="s">
        <v>581</v>
      </c>
      <c r="K595" t="s">
        <v>165</v>
      </c>
      <c r="L595">
        <v>5500000392</v>
      </c>
      <c r="M595" t="s">
        <v>636</v>
      </c>
    </row>
    <row r="596" spans="3:13">
      <c r="C596">
        <v>2100300025</v>
      </c>
      <c r="D596">
        <v>6011310</v>
      </c>
      <c r="E596" t="s">
        <v>198</v>
      </c>
      <c r="F596">
        <v>5105010109</v>
      </c>
      <c r="G596" s="13">
        <v>1712.42</v>
      </c>
      <c r="I596" t="s">
        <v>160</v>
      </c>
      <c r="J596" t="s">
        <v>583</v>
      </c>
      <c r="K596" t="s">
        <v>165</v>
      </c>
      <c r="L596">
        <v>5500000468</v>
      </c>
      <c r="M596" t="s">
        <v>637</v>
      </c>
    </row>
    <row r="597" spans="3:13">
      <c r="C597">
        <v>2100300025</v>
      </c>
      <c r="D597">
        <v>6011310</v>
      </c>
      <c r="E597" t="s">
        <v>198</v>
      </c>
      <c r="F597">
        <v>5105010109</v>
      </c>
      <c r="G597" s="13">
        <v>1657.24</v>
      </c>
      <c r="I597" t="s">
        <v>160</v>
      </c>
      <c r="J597" t="s">
        <v>585</v>
      </c>
      <c r="K597" t="s">
        <v>165</v>
      </c>
      <c r="L597">
        <v>5500000545</v>
      </c>
      <c r="M597" t="s">
        <v>638</v>
      </c>
    </row>
    <row r="598" spans="3:13">
      <c r="C598">
        <v>2100300025</v>
      </c>
      <c r="D598">
        <v>6011310</v>
      </c>
      <c r="E598" t="s">
        <v>198</v>
      </c>
      <c r="F598">
        <v>5105010109</v>
      </c>
      <c r="G598" s="13">
        <v>1712.42</v>
      </c>
      <c r="I598" t="s">
        <v>160</v>
      </c>
      <c r="J598" t="s">
        <v>587</v>
      </c>
      <c r="K598" t="s">
        <v>165</v>
      </c>
      <c r="L598">
        <v>5500000622</v>
      </c>
      <c r="M598" t="s">
        <v>639</v>
      </c>
    </row>
    <row r="599" spans="3:13">
      <c r="C599">
        <v>2100300025</v>
      </c>
      <c r="D599">
        <v>6011310</v>
      </c>
      <c r="E599" t="s">
        <v>198</v>
      </c>
      <c r="F599">
        <v>5105010109</v>
      </c>
      <c r="G599" s="13">
        <v>1712.5</v>
      </c>
      <c r="I599" t="s">
        <v>160</v>
      </c>
      <c r="J599" t="s">
        <v>589</v>
      </c>
      <c r="K599" t="s">
        <v>165</v>
      </c>
      <c r="L599">
        <v>5500000699</v>
      </c>
      <c r="M599" t="s">
        <v>640</v>
      </c>
    </row>
    <row r="600" spans="3:13">
      <c r="C600">
        <v>2100300025</v>
      </c>
      <c r="D600">
        <v>6011310</v>
      </c>
      <c r="E600" t="s">
        <v>198</v>
      </c>
      <c r="F600">
        <v>5105010109</v>
      </c>
      <c r="G600" s="13">
        <v>1657.22</v>
      </c>
      <c r="I600" t="s">
        <v>160</v>
      </c>
      <c r="J600" t="s">
        <v>591</v>
      </c>
      <c r="K600" t="s">
        <v>165</v>
      </c>
      <c r="L600">
        <v>5500000777</v>
      </c>
      <c r="M600" t="s">
        <v>641</v>
      </c>
    </row>
    <row r="601" spans="3:13">
      <c r="C601">
        <v>2100300025</v>
      </c>
      <c r="D601">
        <v>6126000</v>
      </c>
      <c r="E601" t="s">
        <v>188</v>
      </c>
      <c r="F601">
        <v>5105010109</v>
      </c>
      <c r="G601" s="13">
        <v>5239.1099999999997</v>
      </c>
      <c r="I601" t="s">
        <v>160</v>
      </c>
      <c r="J601" t="s">
        <v>571</v>
      </c>
      <c r="K601" t="s">
        <v>165</v>
      </c>
      <c r="L601">
        <v>5500000021</v>
      </c>
      <c r="M601" t="s">
        <v>631</v>
      </c>
    </row>
    <row r="602" spans="3:13">
      <c r="C602">
        <v>2100300025</v>
      </c>
      <c r="D602">
        <v>6126000</v>
      </c>
      <c r="E602" t="s">
        <v>188</v>
      </c>
      <c r="F602">
        <v>5105010109</v>
      </c>
      <c r="G602" s="13">
        <v>2662.48</v>
      </c>
      <c r="I602" t="s">
        <v>160</v>
      </c>
      <c r="J602" t="s">
        <v>573</v>
      </c>
      <c r="K602" t="s">
        <v>165</v>
      </c>
      <c r="L602">
        <v>5500000094</v>
      </c>
      <c r="M602" t="s">
        <v>632</v>
      </c>
    </row>
    <row r="603" spans="3:13">
      <c r="C603">
        <v>2100300025</v>
      </c>
      <c r="D603">
        <v>6126000</v>
      </c>
      <c r="E603" t="s">
        <v>188</v>
      </c>
      <c r="F603">
        <v>5105010109</v>
      </c>
      <c r="G603" s="13">
        <v>2662.53</v>
      </c>
      <c r="I603" t="s">
        <v>160</v>
      </c>
      <c r="J603" t="s">
        <v>575</v>
      </c>
      <c r="K603" t="s">
        <v>165</v>
      </c>
      <c r="L603">
        <v>5500000167</v>
      </c>
      <c r="M603" t="s">
        <v>633</v>
      </c>
    </row>
    <row r="604" spans="3:13">
      <c r="C604">
        <v>2100300025</v>
      </c>
      <c r="D604">
        <v>6126000</v>
      </c>
      <c r="E604" t="s">
        <v>188</v>
      </c>
      <c r="F604">
        <v>5105010109</v>
      </c>
      <c r="G604" s="13">
        <v>2404.8000000000002</v>
      </c>
      <c r="I604" t="s">
        <v>160</v>
      </c>
      <c r="J604" t="s">
        <v>577</v>
      </c>
      <c r="K604" t="s">
        <v>165</v>
      </c>
      <c r="L604">
        <v>5500000242</v>
      </c>
      <c r="M604" t="s">
        <v>634</v>
      </c>
    </row>
    <row r="605" spans="3:13">
      <c r="C605">
        <v>2100300025</v>
      </c>
      <c r="D605">
        <v>6126000</v>
      </c>
      <c r="E605" t="s">
        <v>188</v>
      </c>
      <c r="F605">
        <v>5105010109</v>
      </c>
      <c r="G605" s="13">
        <v>2662.49</v>
      </c>
      <c r="I605" t="s">
        <v>160</v>
      </c>
      <c r="J605" t="s">
        <v>579</v>
      </c>
      <c r="K605" t="s">
        <v>165</v>
      </c>
      <c r="L605">
        <v>5500000317</v>
      </c>
      <c r="M605" t="s">
        <v>635</v>
      </c>
    </row>
    <row r="606" spans="3:13">
      <c r="C606">
        <v>2100300025</v>
      </c>
      <c r="D606">
        <v>6126000</v>
      </c>
      <c r="E606" t="s">
        <v>188</v>
      </c>
      <c r="F606">
        <v>5105010109</v>
      </c>
      <c r="G606" s="13">
        <v>2576.63</v>
      </c>
      <c r="I606" t="s">
        <v>160</v>
      </c>
      <c r="J606" t="s">
        <v>581</v>
      </c>
      <c r="K606" t="s">
        <v>165</v>
      </c>
      <c r="L606">
        <v>5500000393</v>
      </c>
      <c r="M606" t="s">
        <v>644</v>
      </c>
    </row>
    <row r="607" spans="3:13">
      <c r="C607">
        <v>2100300025</v>
      </c>
      <c r="D607">
        <v>6126000</v>
      </c>
      <c r="E607" t="s">
        <v>188</v>
      </c>
      <c r="F607">
        <v>5105010109</v>
      </c>
      <c r="G607" s="13">
        <v>2662.51</v>
      </c>
      <c r="I607" t="s">
        <v>160</v>
      </c>
      <c r="J607" t="s">
        <v>583</v>
      </c>
      <c r="K607" t="s">
        <v>165</v>
      </c>
      <c r="L607">
        <v>5500000469</v>
      </c>
      <c r="M607" t="s">
        <v>645</v>
      </c>
    </row>
    <row r="608" spans="3:13">
      <c r="C608">
        <v>2100300025</v>
      </c>
      <c r="D608">
        <v>6126000</v>
      </c>
      <c r="E608" t="s">
        <v>188</v>
      </c>
      <c r="F608">
        <v>5105010109</v>
      </c>
      <c r="G608" s="13">
        <v>2576.61</v>
      </c>
      <c r="I608" t="s">
        <v>160</v>
      </c>
      <c r="J608" t="s">
        <v>585</v>
      </c>
      <c r="K608" t="s">
        <v>165</v>
      </c>
      <c r="L608">
        <v>5500000546</v>
      </c>
      <c r="M608" t="s">
        <v>646</v>
      </c>
    </row>
    <row r="609" spans="3:13">
      <c r="C609">
        <v>2100300025</v>
      </c>
      <c r="D609">
        <v>6126000</v>
      </c>
      <c r="E609" t="s">
        <v>188</v>
      </c>
      <c r="F609">
        <v>5105010109</v>
      </c>
      <c r="G609" s="13">
        <v>2662.48</v>
      </c>
      <c r="I609" t="s">
        <v>160</v>
      </c>
      <c r="J609" t="s">
        <v>587</v>
      </c>
      <c r="K609" t="s">
        <v>165</v>
      </c>
      <c r="L609">
        <v>5500000623</v>
      </c>
      <c r="M609" t="s">
        <v>642</v>
      </c>
    </row>
    <row r="610" spans="3:13">
      <c r="C610">
        <v>2100300025</v>
      </c>
      <c r="D610">
        <v>6126000</v>
      </c>
      <c r="E610" t="s">
        <v>188</v>
      </c>
      <c r="F610">
        <v>5105010109</v>
      </c>
      <c r="G610" s="13">
        <v>2662.51</v>
      </c>
      <c r="I610" t="s">
        <v>160</v>
      </c>
      <c r="J610" t="s">
        <v>589</v>
      </c>
      <c r="K610" t="s">
        <v>165</v>
      </c>
      <c r="L610">
        <v>5500000700</v>
      </c>
      <c r="M610" t="s">
        <v>643</v>
      </c>
    </row>
    <row r="611" spans="3:13">
      <c r="C611">
        <v>2100300025</v>
      </c>
      <c r="D611">
        <v>6126000</v>
      </c>
      <c r="E611" t="s">
        <v>188</v>
      </c>
      <c r="F611">
        <v>5105010109</v>
      </c>
      <c r="G611" s="13">
        <v>2576.6</v>
      </c>
      <c r="I611" t="s">
        <v>160</v>
      </c>
      <c r="J611" t="s">
        <v>591</v>
      </c>
      <c r="K611" t="s">
        <v>165</v>
      </c>
      <c r="L611">
        <v>5500000777</v>
      </c>
      <c r="M611" t="s">
        <v>641</v>
      </c>
    </row>
    <row r="612" spans="3:13">
      <c r="C612">
        <v>2100300025</v>
      </c>
      <c r="D612">
        <v>6131000</v>
      </c>
      <c r="E612" t="s">
        <v>188</v>
      </c>
      <c r="F612">
        <v>5105010109</v>
      </c>
      <c r="G612" s="13">
        <v>3515.85</v>
      </c>
      <c r="I612" t="s">
        <v>160</v>
      </c>
      <c r="J612" t="s">
        <v>571</v>
      </c>
      <c r="K612" t="s">
        <v>165</v>
      </c>
      <c r="L612">
        <v>5500000021</v>
      </c>
      <c r="M612" t="s">
        <v>631</v>
      </c>
    </row>
    <row r="613" spans="3:13">
      <c r="C613">
        <v>2100300025</v>
      </c>
      <c r="D613">
        <v>6131000</v>
      </c>
      <c r="E613" t="s">
        <v>188</v>
      </c>
      <c r="F613">
        <v>5105010109</v>
      </c>
      <c r="G613" s="13">
        <v>1786.74</v>
      </c>
      <c r="I613" t="s">
        <v>160</v>
      </c>
      <c r="J613" t="s">
        <v>573</v>
      </c>
      <c r="K613" t="s">
        <v>165</v>
      </c>
      <c r="L613">
        <v>5500000094</v>
      </c>
      <c r="M613" t="s">
        <v>632</v>
      </c>
    </row>
    <row r="614" spans="3:13">
      <c r="C614">
        <v>2100300025</v>
      </c>
      <c r="D614">
        <v>6131000</v>
      </c>
      <c r="E614" t="s">
        <v>188</v>
      </c>
      <c r="F614">
        <v>5105010109</v>
      </c>
      <c r="G614" s="13">
        <v>1786.74</v>
      </c>
      <c r="I614" t="s">
        <v>160</v>
      </c>
      <c r="J614" t="s">
        <v>575</v>
      </c>
      <c r="K614" t="s">
        <v>165</v>
      </c>
      <c r="L614">
        <v>5500000167</v>
      </c>
      <c r="M614" t="s">
        <v>633</v>
      </c>
    </row>
    <row r="615" spans="3:13">
      <c r="C615">
        <v>2100300025</v>
      </c>
      <c r="D615">
        <v>6131000</v>
      </c>
      <c r="E615" t="s">
        <v>188</v>
      </c>
      <c r="F615">
        <v>5105010109</v>
      </c>
      <c r="G615" s="13">
        <v>1613.83</v>
      </c>
      <c r="I615" t="s">
        <v>160</v>
      </c>
      <c r="J615" t="s">
        <v>577</v>
      </c>
      <c r="K615" t="s">
        <v>165</v>
      </c>
      <c r="L615">
        <v>5500000242</v>
      </c>
      <c r="M615" t="s">
        <v>634</v>
      </c>
    </row>
    <row r="616" spans="3:13">
      <c r="C616">
        <v>2100300025</v>
      </c>
      <c r="D616">
        <v>6131000</v>
      </c>
      <c r="E616" t="s">
        <v>188</v>
      </c>
      <c r="F616">
        <v>5105010109</v>
      </c>
      <c r="G616" s="13">
        <v>1786.74</v>
      </c>
      <c r="I616" t="s">
        <v>160</v>
      </c>
      <c r="J616" t="s">
        <v>579</v>
      </c>
      <c r="K616" t="s">
        <v>165</v>
      </c>
      <c r="L616">
        <v>5500000317</v>
      </c>
      <c r="M616" t="s">
        <v>635</v>
      </c>
    </row>
    <row r="617" spans="3:13">
      <c r="C617">
        <v>2100300025</v>
      </c>
      <c r="D617">
        <v>6131000</v>
      </c>
      <c r="E617" t="s">
        <v>188</v>
      </c>
      <c r="F617">
        <v>5105010109</v>
      </c>
      <c r="G617" s="13">
        <v>1729.17</v>
      </c>
      <c r="I617" t="s">
        <v>160</v>
      </c>
      <c r="J617" t="s">
        <v>581</v>
      </c>
      <c r="K617" t="s">
        <v>165</v>
      </c>
      <c r="L617">
        <v>5500000393</v>
      </c>
      <c r="M617" t="s">
        <v>644</v>
      </c>
    </row>
    <row r="618" spans="3:13">
      <c r="C618">
        <v>2100300025</v>
      </c>
      <c r="D618">
        <v>6131000</v>
      </c>
      <c r="E618" t="s">
        <v>188</v>
      </c>
      <c r="F618">
        <v>5105010109</v>
      </c>
      <c r="G618" s="13">
        <v>1786.74</v>
      </c>
      <c r="I618" t="s">
        <v>160</v>
      </c>
      <c r="J618" t="s">
        <v>583</v>
      </c>
      <c r="K618" t="s">
        <v>165</v>
      </c>
      <c r="L618">
        <v>5500000469</v>
      </c>
      <c r="M618" t="s">
        <v>645</v>
      </c>
    </row>
    <row r="619" spans="3:13">
      <c r="C619">
        <v>2100300025</v>
      </c>
      <c r="D619">
        <v>6131000</v>
      </c>
      <c r="E619" t="s">
        <v>188</v>
      </c>
      <c r="F619">
        <v>5105010109</v>
      </c>
      <c r="G619" s="13">
        <v>1729.1</v>
      </c>
      <c r="I619" t="s">
        <v>160</v>
      </c>
      <c r="J619" t="s">
        <v>585</v>
      </c>
      <c r="K619" t="s">
        <v>165</v>
      </c>
      <c r="L619">
        <v>5500000546</v>
      </c>
      <c r="M619" t="s">
        <v>646</v>
      </c>
    </row>
    <row r="620" spans="3:13">
      <c r="C620">
        <v>2100300025</v>
      </c>
      <c r="D620">
        <v>6131000</v>
      </c>
      <c r="E620" t="s">
        <v>188</v>
      </c>
      <c r="F620">
        <v>5105010109</v>
      </c>
      <c r="G620" s="13">
        <v>1786.74</v>
      </c>
      <c r="I620" t="s">
        <v>160</v>
      </c>
      <c r="J620" t="s">
        <v>587</v>
      </c>
      <c r="K620" t="s">
        <v>165</v>
      </c>
      <c r="L620">
        <v>5500000623</v>
      </c>
      <c r="M620" t="s">
        <v>642</v>
      </c>
    </row>
    <row r="621" spans="3:13">
      <c r="C621">
        <v>2100300025</v>
      </c>
      <c r="D621">
        <v>6131000</v>
      </c>
      <c r="E621" t="s">
        <v>188</v>
      </c>
      <c r="F621">
        <v>5105010109</v>
      </c>
      <c r="G621" s="13">
        <v>1786.75</v>
      </c>
      <c r="I621" t="s">
        <v>160</v>
      </c>
      <c r="J621" t="s">
        <v>589</v>
      </c>
      <c r="K621" t="s">
        <v>165</v>
      </c>
      <c r="L621">
        <v>5500000700</v>
      </c>
      <c r="M621" t="s">
        <v>643</v>
      </c>
    </row>
    <row r="622" spans="3:13">
      <c r="C622">
        <v>2100300025</v>
      </c>
      <c r="D622">
        <v>6131000</v>
      </c>
      <c r="E622" t="s">
        <v>188</v>
      </c>
      <c r="F622">
        <v>5105010109</v>
      </c>
      <c r="G622" s="13">
        <v>1729.1</v>
      </c>
      <c r="I622" t="s">
        <v>160</v>
      </c>
      <c r="J622" t="s">
        <v>591</v>
      </c>
      <c r="K622" t="s">
        <v>165</v>
      </c>
      <c r="L622">
        <v>5500000777</v>
      </c>
      <c r="M622" t="s">
        <v>641</v>
      </c>
    </row>
    <row r="623" spans="3:13">
      <c r="C623">
        <v>2100300025</v>
      </c>
      <c r="D623">
        <v>6111310</v>
      </c>
      <c r="E623" t="s">
        <v>199</v>
      </c>
      <c r="F623">
        <v>5105010109</v>
      </c>
      <c r="G623" s="13">
        <v>5233.04</v>
      </c>
      <c r="I623" t="s">
        <v>160</v>
      </c>
      <c r="J623" t="s">
        <v>571</v>
      </c>
      <c r="K623" t="s">
        <v>165</v>
      </c>
      <c r="L623">
        <v>5500000021</v>
      </c>
      <c r="M623" t="s">
        <v>631</v>
      </c>
    </row>
    <row r="624" spans="3:13">
      <c r="C624">
        <v>2100300025</v>
      </c>
      <c r="D624">
        <v>6111310</v>
      </c>
      <c r="E624" t="s">
        <v>199</v>
      </c>
      <c r="F624">
        <v>5105010109</v>
      </c>
      <c r="G624" s="13">
        <v>2659.39</v>
      </c>
      <c r="I624" t="s">
        <v>160</v>
      </c>
      <c r="J624" t="s">
        <v>573</v>
      </c>
      <c r="K624" t="s">
        <v>165</v>
      </c>
      <c r="L624">
        <v>5500000094</v>
      </c>
      <c r="M624" t="s">
        <v>632</v>
      </c>
    </row>
    <row r="625" spans="3:13">
      <c r="C625">
        <v>2100300025</v>
      </c>
      <c r="D625">
        <v>6111310</v>
      </c>
      <c r="E625" t="s">
        <v>199</v>
      </c>
      <c r="F625">
        <v>5105010109</v>
      </c>
      <c r="G625" s="13">
        <v>2659.46</v>
      </c>
      <c r="I625" t="s">
        <v>160</v>
      </c>
      <c r="J625" t="s">
        <v>575</v>
      </c>
      <c r="K625" t="s">
        <v>165</v>
      </c>
      <c r="L625">
        <v>5500000167</v>
      </c>
      <c r="M625" t="s">
        <v>633</v>
      </c>
    </row>
    <row r="626" spans="3:13">
      <c r="C626">
        <v>2100300025</v>
      </c>
      <c r="D626">
        <v>6111310</v>
      </c>
      <c r="E626" t="s">
        <v>199</v>
      </c>
      <c r="F626">
        <v>5105010109</v>
      </c>
      <c r="G626" s="13">
        <v>2402.0300000000002</v>
      </c>
      <c r="I626" t="s">
        <v>160</v>
      </c>
      <c r="J626" t="s">
        <v>577</v>
      </c>
      <c r="K626" t="s">
        <v>165</v>
      </c>
      <c r="L626">
        <v>5500000242</v>
      </c>
      <c r="M626" t="s">
        <v>634</v>
      </c>
    </row>
    <row r="627" spans="3:13">
      <c r="C627">
        <v>2100300025</v>
      </c>
      <c r="D627">
        <v>6111310</v>
      </c>
      <c r="E627" t="s">
        <v>199</v>
      </c>
      <c r="F627">
        <v>5105010109</v>
      </c>
      <c r="G627" s="13">
        <v>2659.41</v>
      </c>
      <c r="I627" t="s">
        <v>160</v>
      </c>
      <c r="J627" t="s">
        <v>579</v>
      </c>
      <c r="K627" t="s">
        <v>165</v>
      </c>
      <c r="L627">
        <v>5500000317</v>
      </c>
      <c r="M627" t="s">
        <v>635</v>
      </c>
    </row>
    <row r="628" spans="3:13">
      <c r="C628">
        <v>2100300025</v>
      </c>
      <c r="D628">
        <v>6111310</v>
      </c>
      <c r="E628" t="s">
        <v>199</v>
      </c>
      <c r="F628">
        <v>5105010109</v>
      </c>
      <c r="G628" s="13">
        <v>2573.65</v>
      </c>
      <c r="I628" t="s">
        <v>160</v>
      </c>
      <c r="J628" t="s">
        <v>581</v>
      </c>
      <c r="K628" t="s">
        <v>165</v>
      </c>
      <c r="L628">
        <v>5500000392</v>
      </c>
      <c r="M628" t="s">
        <v>636</v>
      </c>
    </row>
    <row r="629" spans="3:13">
      <c r="C629">
        <v>2100300025</v>
      </c>
      <c r="D629">
        <v>6111310</v>
      </c>
      <c r="E629" t="s">
        <v>199</v>
      </c>
      <c r="F629">
        <v>5105010109</v>
      </c>
      <c r="G629" s="13">
        <v>2659.45</v>
      </c>
      <c r="I629" t="s">
        <v>160</v>
      </c>
      <c r="J629" t="s">
        <v>583</v>
      </c>
      <c r="K629" t="s">
        <v>165</v>
      </c>
      <c r="L629">
        <v>5500000468</v>
      </c>
      <c r="M629" t="s">
        <v>637</v>
      </c>
    </row>
    <row r="630" spans="3:13">
      <c r="C630">
        <v>2100300025</v>
      </c>
      <c r="D630">
        <v>6111310</v>
      </c>
      <c r="E630" t="s">
        <v>199</v>
      </c>
      <c r="F630">
        <v>5105010109</v>
      </c>
      <c r="G630" s="13">
        <v>2573.64</v>
      </c>
      <c r="I630" t="s">
        <v>160</v>
      </c>
      <c r="J630" t="s">
        <v>585</v>
      </c>
      <c r="K630" t="s">
        <v>165</v>
      </c>
      <c r="L630">
        <v>5500000545</v>
      </c>
      <c r="M630" t="s">
        <v>638</v>
      </c>
    </row>
    <row r="631" spans="3:13">
      <c r="C631">
        <v>2100300025</v>
      </c>
      <c r="D631">
        <v>6111310</v>
      </c>
      <c r="E631" t="s">
        <v>199</v>
      </c>
      <c r="F631">
        <v>5105010109</v>
      </c>
      <c r="G631" s="13">
        <v>2659.39</v>
      </c>
      <c r="I631" t="s">
        <v>160</v>
      </c>
      <c r="J631" t="s">
        <v>587</v>
      </c>
      <c r="K631" t="s">
        <v>165</v>
      </c>
      <c r="L631">
        <v>5500000622</v>
      </c>
      <c r="M631" t="s">
        <v>639</v>
      </c>
    </row>
    <row r="632" spans="3:13">
      <c r="C632">
        <v>2100300025</v>
      </c>
      <c r="D632">
        <v>6111310</v>
      </c>
      <c r="E632" t="s">
        <v>199</v>
      </c>
      <c r="F632">
        <v>5105010109</v>
      </c>
      <c r="G632" s="13">
        <v>2659.39</v>
      </c>
      <c r="I632" t="s">
        <v>160</v>
      </c>
      <c r="J632" t="s">
        <v>589</v>
      </c>
      <c r="K632" t="s">
        <v>165</v>
      </c>
      <c r="L632">
        <v>5500000699</v>
      </c>
      <c r="M632" t="s">
        <v>640</v>
      </c>
    </row>
    <row r="633" spans="3:13">
      <c r="C633">
        <v>2100300025</v>
      </c>
      <c r="D633">
        <v>6111310</v>
      </c>
      <c r="E633" t="s">
        <v>199</v>
      </c>
      <c r="F633">
        <v>5105010109</v>
      </c>
      <c r="G633" s="13">
        <v>2573.65</v>
      </c>
      <c r="I633" t="s">
        <v>160</v>
      </c>
      <c r="J633" t="s">
        <v>591</v>
      </c>
      <c r="K633" t="s">
        <v>165</v>
      </c>
      <c r="L633">
        <v>5500000777</v>
      </c>
      <c r="M633" t="s">
        <v>641</v>
      </c>
    </row>
    <row r="634" spans="3:13">
      <c r="C634">
        <v>2100300025</v>
      </c>
      <c r="D634">
        <v>6226000</v>
      </c>
      <c r="E634" t="s">
        <v>188</v>
      </c>
      <c r="F634">
        <v>5105010109</v>
      </c>
      <c r="G634" s="13">
        <v>28252.19</v>
      </c>
      <c r="I634" t="s">
        <v>160</v>
      </c>
      <c r="J634" t="s">
        <v>571</v>
      </c>
      <c r="K634" t="s">
        <v>165</v>
      </c>
      <c r="L634">
        <v>5500000021</v>
      </c>
      <c r="M634" t="s">
        <v>631</v>
      </c>
    </row>
    <row r="635" spans="3:13">
      <c r="C635">
        <v>2100300025</v>
      </c>
      <c r="D635">
        <v>6226000</v>
      </c>
      <c r="E635" t="s">
        <v>188</v>
      </c>
      <c r="F635">
        <v>5105010109</v>
      </c>
      <c r="G635" s="13">
        <v>14357.66</v>
      </c>
      <c r="I635" t="s">
        <v>160</v>
      </c>
      <c r="J635" t="s">
        <v>573</v>
      </c>
      <c r="K635" t="s">
        <v>165</v>
      </c>
      <c r="L635">
        <v>5500000094</v>
      </c>
      <c r="M635" t="s">
        <v>632</v>
      </c>
    </row>
    <row r="636" spans="3:13">
      <c r="C636">
        <v>2100300025</v>
      </c>
      <c r="D636">
        <v>6226000</v>
      </c>
      <c r="E636" t="s">
        <v>188</v>
      </c>
      <c r="F636">
        <v>5105010109</v>
      </c>
      <c r="G636" s="13">
        <v>14357.66</v>
      </c>
      <c r="I636" t="s">
        <v>160</v>
      </c>
      <c r="J636" t="s">
        <v>575</v>
      </c>
      <c r="K636" t="s">
        <v>165</v>
      </c>
      <c r="L636">
        <v>5500000167</v>
      </c>
      <c r="M636" t="s">
        <v>633</v>
      </c>
    </row>
    <row r="637" spans="3:13">
      <c r="C637">
        <v>2100300025</v>
      </c>
      <c r="D637">
        <v>6226000</v>
      </c>
      <c r="E637" t="s">
        <v>188</v>
      </c>
      <c r="F637">
        <v>5105010109</v>
      </c>
      <c r="G637" s="13">
        <v>12968.23</v>
      </c>
      <c r="I637" t="s">
        <v>160</v>
      </c>
      <c r="J637" t="s">
        <v>577</v>
      </c>
      <c r="K637" t="s">
        <v>165</v>
      </c>
      <c r="L637">
        <v>5500000242</v>
      </c>
      <c r="M637" t="s">
        <v>634</v>
      </c>
    </row>
    <row r="638" spans="3:13">
      <c r="C638">
        <v>2100300025</v>
      </c>
      <c r="D638">
        <v>6226000</v>
      </c>
      <c r="E638" t="s">
        <v>188</v>
      </c>
      <c r="F638">
        <v>5105010109</v>
      </c>
      <c r="G638" s="13">
        <v>14357.67</v>
      </c>
      <c r="I638" t="s">
        <v>160</v>
      </c>
      <c r="J638" t="s">
        <v>579</v>
      </c>
      <c r="K638" t="s">
        <v>165</v>
      </c>
      <c r="L638">
        <v>5500000317</v>
      </c>
      <c r="M638" t="s">
        <v>635</v>
      </c>
    </row>
    <row r="639" spans="3:13">
      <c r="C639">
        <v>2100300025</v>
      </c>
      <c r="D639">
        <v>6226000</v>
      </c>
      <c r="E639" t="s">
        <v>188</v>
      </c>
      <c r="F639">
        <v>5105010109</v>
      </c>
      <c r="G639" s="13">
        <v>13894.51</v>
      </c>
      <c r="I639" t="s">
        <v>160</v>
      </c>
      <c r="J639" t="s">
        <v>581</v>
      </c>
      <c r="K639" t="s">
        <v>165</v>
      </c>
      <c r="L639">
        <v>5500000393</v>
      </c>
      <c r="M639" t="s">
        <v>644</v>
      </c>
    </row>
    <row r="640" spans="3:13">
      <c r="C640">
        <v>2100300025</v>
      </c>
      <c r="D640">
        <v>6226000</v>
      </c>
      <c r="E640" t="s">
        <v>188</v>
      </c>
      <c r="F640">
        <v>5105010109</v>
      </c>
      <c r="G640" s="13">
        <v>14357.68</v>
      </c>
      <c r="I640" t="s">
        <v>160</v>
      </c>
      <c r="J640" t="s">
        <v>583</v>
      </c>
      <c r="K640" t="s">
        <v>165</v>
      </c>
      <c r="L640">
        <v>5500000469</v>
      </c>
      <c r="M640" t="s">
        <v>645</v>
      </c>
    </row>
    <row r="641" spans="3:13">
      <c r="C641">
        <v>2100300025</v>
      </c>
      <c r="D641">
        <v>6226000</v>
      </c>
      <c r="E641" t="s">
        <v>188</v>
      </c>
      <c r="F641">
        <v>5105010109</v>
      </c>
      <c r="G641" s="13">
        <v>13894.55</v>
      </c>
      <c r="I641" t="s">
        <v>160</v>
      </c>
      <c r="J641" t="s">
        <v>585</v>
      </c>
      <c r="K641" t="s">
        <v>165</v>
      </c>
      <c r="L641">
        <v>5500000546</v>
      </c>
      <c r="M641" t="s">
        <v>646</v>
      </c>
    </row>
    <row r="642" spans="3:13">
      <c r="C642">
        <v>2100300025</v>
      </c>
      <c r="D642">
        <v>6226000</v>
      </c>
      <c r="E642" t="s">
        <v>188</v>
      </c>
      <c r="F642">
        <v>5105010109</v>
      </c>
      <c r="G642" s="13">
        <v>14357.66</v>
      </c>
      <c r="I642" t="s">
        <v>160</v>
      </c>
      <c r="J642" t="s">
        <v>587</v>
      </c>
      <c r="K642" t="s">
        <v>165</v>
      </c>
      <c r="L642">
        <v>5500000623</v>
      </c>
      <c r="M642" t="s">
        <v>642</v>
      </c>
    </row>
    <row r="643" spans="3:13">
      <c r="C643">
        <v>2100300025</v>
      </c>
      <c r="D643">
        <v>6226000</v>
      </c>
      <c r="E643" t="s">
        <v>188</v>
      </c>
      <c r="F643">
        <v>5105010109</v>
      </c>
      <c r="G643" s="13">
        <v>14357.62</v>
      </c>
      <c r="I643" t="s">
        <v>160</v>
      </c>
      <c r="J643" t="s">
        <v>589</v>
      </c>
      <c r="K643" t="s">
        <v>165</v>
      </c>
      <c r="L643">
        <v>5500000700</v>
      </c>
      <c r="M643" t="s">
        <v>643</v>
      </c>
    </row>
    <row r="644" spans="3:13">
      <c r="C644">
        <v>2100300025</v>
      </c>
      <c r="D644">
        <v>6226000</v>
      </c>
      <c r="E644" t="s">
        <v>188</v>
      </c>
      <c r="F644">
        <v>5105010109</v>
      </c>
      <c r="G644" s="13">
        <v>13894.57</v>
      </c>
      <c r="I644" t="s">
        <v>160</v>
      </c>
      <c r="J644" t="s">
        <v>591</v>
      </c>
      <c r="K644" t="s">
        <v>165</v>
      </c>
      <c r="L644">
        <v>5500000777</v>
      </c>
      <c r="M644" t="s">
        <v>641</v>
      </c>
    </row>
    <row r="645" spans="3:13">
      <c r="C645">
        <v>2100300025</v>
      </c>
      <c r="D645">
        <v>6326000</v>
      </c>
      <c r="E645" t="s">
        <v>188</v>
      </c>
      <c r="F645">
        <v>5105010109</v>
      </c>
      <c r="G645" s="13">
        <v>6678.16</v>
      </c>
      <c r="I645" t="s">
        <v>160</v>
      </c>
      <c r="J645" t="s">
        <v>571</v>
      </c>
      <c r="K645" t="s">
        <v>165</v>
      </c>
      <c r="L645">
        <v>5500000021</v>
      </c>
      <c r="M645" t="s">
        <v>631</v>
      </c>
    </row>
    <row r="646" spans="3:13">
      <c r="C646">
        <v>2100300025</v>
      </c>
      <c r="D646">
        <v>6326000</v>
      </c>
      <c r="E646" t="s">
        <v>188</v>
      </c>
      <c r="F646">
        <v>5105010109</v>
      </c>
      <c r="G646" s="13">
        <v>3393.88</v>
      </c>
      <c r="I646" t="s">
        <v>160</v>
      </c>
      <c r="J646" t="s">
        <v>573</v>
      </c>
      <c r="K646" t="s">
        <v>165</v>
      </c>
      <c r="L646">
        <v>5500000094</v>
      </c>
      <c r="M646" t="s">
        <v>632</v>
      </c>
    </row>
    <row r="647" spans="3:13">
      <c r="C647">
        <v>2100300025</v>
      </c>
      <c r="D647">
        <v>6326000</v>
      </c>
      <c r="E647" t="s">
        <v>188</v>
      </c>
      <c r="F647">
        <v>5105010109</v>
      </c>
      <c r="G647" s="13">
        <v>3393.8</v>
      </c>
      <c r="I647" t="s">
        <v>160</v>
      </c>
      <c r="J647" t="s">
        <v>575</v>
      </c>
      <c r="K647" t="s">
        <v>165</v>
      </c>
      <c r="L647">
        <v>5500000167</v>
      </c>
      <c r="M647" t="s">
        <v>633</v>
      </c>
    </row>
    <row r="648" spans="3:13">
      <c r="C648">
        <v>2100300025</v>
      </c>
      <c r="D648">
        <v>6326000</v>
      </c>
      <c r="E648" t="s">
        <v>188</v>
      </c>
      <c r="F648">
        <v>5105010109</v>
      </c>
      <c r="G648" s="13">
        <v>3065.43</v>
      </c>
      <c r="I648" t="s">
        <v>160</v>
      </c>
      <c r="J648" t="s">
        <v>577</v>
      </c>
      <c r="K648" t="s">
        <v>165</v>
      </c>
      <c r="L648">
        <v>5500000242</v>
      </c>
      <c r="M648" t="s">
        <v>634</v>
      </c>
    </row>
    <row r="649" spans="3:13">
      <c r="C649">
        <v>2100300025</v>
      </c>
      <c r="D649">
        <v>6326000</v>
      </c>
      <c r="E649" t="s">
        <v>188</v>
      </c>
      <c r="F649">
        <v>5105010109</v>
      </c>
      <c r="G649" s="13">
        <v>3393.81</v>
      </c>
      <c r="I649" t="s">
        <v>160</v>
      </c>
      <c r="J649" t="s">
        <v>579</v>
      </c>
      <c r="K649" t="s">
        <v>165</v>
      </c>
      <c r="L649">
        <v>5500000317</v>
      </c>
      <c r="M649" t="s">
        <v>635</v>
      </c>
    </row>
    <row r="650" spans="3:13">
      <c r="C650">
        <v>2100300025</v>
      </c>
      <c r="D650">
        <v>6326000</v>
      </c>
      <c r="E650" t="s">
        <v>188</v>
      </c>
      <c r="F650">
        <v>5105010109</v>
      </c>
      <c r="G650" s="13">
        <v>3284.36</v>
      </c>
      <c r="I650" t="s">
        <v>160</v>
      </c>
      <c r="J650" t="s">
        <v>581</v>
      </c>
      <c r="K650" t="s">
        <v>165</v>
      </c>
      <c r="L650">
        <v>5500000393</v>
      </c>
      <c r="M650" t="s">
        <v>644</v>
      </c>
    </row>
    <row r="651" spans="3:13">
      <c r="C651">
        <v>2100300025</v>
      </c>
      <c r="D651">
        <v>6326000</v>
      </c>
      <c r="E651" t="s">
        <v>188</v>
      </c>
      <c r="F651">
        <v>5105010109</v>
      </c>
      <c r="G651" s="13">
        <v>3393.79</v>
      </c>
      <c r="I651" t="s">
        <v>160</v>
      </c>
      <c r="J651" t="s">
        <v>583</v>
      </c>
      <c r="K651" t="s">
        <v>165</v>
      </c>
      <c r="L651">
        <v>5500000469</v>
      </c>
      <c r="M651" t="s">
        <v>645</v>
      </c>
    </row>
    <row r="652" spans="3:13">
      <c r="C652">
        <v>2100300025</v>
      </c>
      <c r="D652">
        <v>6326000</v>
      </c>
      <c r="E652" t="s">
        <v>188</v>
      </c>
      <c r="F652">
        <v>5105010109</v>
      </c>
      <c r="G652" s="13">
        <v>3284.33</v>
      </c>
      <c r="I652" t="s">
        <v>160</v>
      </c>
      <c r="J652" t="s">
        <v>585</v>
      </c>
      <c r="K652" t="s">
        <v>165</v>
      </c>
      <c r="L652">
        <v>5500000546</v>
      </c>
      <c r="M652" t="s">
        <v>646</v>
      </c>
    </row>
    <row r="653" spans="3:13">
      <c r="C653">
        <v>2100300025</v>
      </c>
      <c r="D653">
        <v>6326000</v>
      </c>
      <c r="E653" t="s">
        <v>188</v>
      </c>
      <c r="F653">
        <v>5105010109</v>
      </c>
      <c r="G653" s="13">
        <v>3393.88</v>
      </c>
      <c r="I653" t="s">
        <v>160</v>
      </c>
      <c r="J653" t="s">
        <v>587</v>
      </c>
      <c r="K653" t="s">
        <v>165</v>
      </c>
      <c r="L653">
        <v>5500000623</v>
      </c>
      <c r="M653" t="s">
        <v>642</v>
      </c>
    </row>
    <row r="654" spans="3:13">
      <c r="C654">
        <v>2100300025</v>
      </c>
      <c r="D654">
        <v>6326000</v>
      </c>
      <c r="E654" t="s">
        <v>188</v>
      </c>
      <c r="F654">
        <v>5105010109</v>
      </c>
      <c r="G654" s="13">
        <v>3393.83</v>
      </c>
      <c r="I654" t="s">
        <v>160</v>
      </c>
      <c r="J654" t="s">
        <v>589</v>
      </c>
      <c r="K654" t="s">
        <v>165</v>
      </c>
      <c r="L654">
        <v>5500000700</v>
      </c>
      <c r="M654" t="s">
        <v>643</v>
      </c>
    </row>
    <row r="655" spans="3:13">
      <c r="C655">
        <v>2100300025</v>
      </c>
      <c r="D655">
        <v>6326000</v>
      </c>
      <c r="E655" t="s">
        <v>188</v>
      </c>
      <c r="F655">
        <v>5105010109</v>
      </c>
      <c r="G655" s="13">
        <v>3284.33</v>
      </c>
      <c r="I655" t="s">
        <v>160</v>
      </c>
      <c r="J655" t="s">
        <v>591</v>
      </c>
      <c r="K655" t="s">
        <v>165</v>
      </c>
      <c r="L655">
        <v>5500000777</v>
      </c>
      <c r="M655" t="s">
        <v>641</v>
      </c>
    </row>
    <row r="656" spans="3:13">
      <c r="C656">
        <v>2100300025</v>
      </c>
      <c r="D656">
        <v>6426000</v>
      </c>
      <c r="E656" t="s">
        <v>188</v>
      </c>
      <c r="F656">
        <v>5105010109</v>
      </c>
      <c r="G656">
        <v>414.24</v>
      </c>
      <c r="I656" t="s">
        <v>160</v>
      </c>
      <c r="J656" t="s">
        <v>577</v>
      </c>
      <c r="K656" t="s">
        <v>165</v>
      </c>
      <c r="L656">
        <v>5500000242</v>
      </c>
      <c r="M656" t="s">
        <v>634</v>
      </c>
    </row>
    <row r="657" spans="3:13">
      <c r="C657">
        <v>2100300025</v>
      </c>
      <c r="D657">
        <v>6426000</v>
      </c>
      <c r="E657" t="s">
        <v>188</v>
      </c>
      <c r="F657">
        <v>5105010109</v>
      </c>
      <c r="G657" s="13">
        <v>2649080.04</v>
      </c>
      <c r="I657" t="s">
        <v>160</v>
      </c>
      <c r="J657" t="s">
        <v>579</v>
      </c>
      <c r="K657" t="s">
        <v>165</v>
      </c>
      <c r="L657">
        <v>5500000317</v>
      </c>
      <c r="M657" t="s">
        <v>635</v>
      </c>
    </row>
    <row r="658" spans="3:13">
      <c r="C658">
        <v>2100300025</v>
      </c>
      <c r="D658">
        <v>6426000</v>
      </c>
      <c r="E658" t="s">
        <v>188</v>
      </c>
      <c r="F658">
        <v>5105010109</v>
      </c>
      <c r="G658" s="13">
        <v>290557.45</v>
      </c>
      <c r="I658" t="s">
        <v>160</v>
      </c>
      <c r="J658" t="s">
        <v>581</v>
      </c>
      <c r="K658" t="s">
        <v>165</v>
      </c>
      <c r="L658">
        <v>5500000393</v>
      </c>
      <c r="M658" t="s">
        <v>644</v>
      </c>
    </row>
    <row r="659" spans="3:13">
      <c r="C659">
        <v>2100300025</v>
      </c>
      <c r="D659">
        <v>6426000</v>
      </c>
      <c r="E659" t="s">
        <v>188</v>
      </c>
      <c r="F659">
        <v>5105010109</v>
      </c>
      <c r="G659" s="13">
        <v>300241.40000000002</v>
      </c>
      <c r="I659" t="s">
        <v>160</v>
      </c>
      <c r="J659" t="s">
        <v>583</v>
      </c>
      <c r="K659" t="s">
        <v>165</v>
      </c>
      <c r="L659">
        <v>5500000469</v>
      </c>
      <c r="M659" t="s">
        <v>645</v>
      </c>
    </row>
    <row r="660" spans="3:13">
      <c r="C660">
        <v>2100300025</v>
      </c>
      <c r="D660">
        <v>6426000</v>
      </c>
      <c r="E660" t="s">
        <v>188</v>
      </c>
      <c r="F660">
        <v>5105010109</v>
      </c>
      <c r="G660" s="13">
        <v>292735.17</v>
      </c>
      <c r="I660" t="s">
        <v>160</v>
      </c>
      <c r="J660" t="s">
        <v>585</v>
      </c>
      <c r="K660" t="s">
        <v>165</v>
      </c>
      <c r="L660">
        <v>5500000546</v>
      </c>
      <c r="M660" t="s">
        <v>646</v>
      </c>
    </row>
    <row r="661" spans="3:13">
      <c r="C661">
        <v>2100300025</v>
      </c>
      <c r="D661">
        <v>6426000</v>
      </c>
      <c r="E661" t="s">
        <v>188</v>
      </c>
      <c r="F661">
        <v>5105010109</v>
      </c>
      <c r="G661" s="13">
        <v>303925.82</v>
      </c>
      <c r="I661" t="s">
        <v>160</v>
      </c>
      <c r="J661" t="s">
        <v>587</v>
      </c>
      <c r="K661" t="s">
        <v>165</v>
      </c>
      <c r="L661">
        <v>5500000623</v>
      </c>
      <c r="M661" t="s">
        <v>642</v>
      </c>
    </row>
    <row r="662" spans="3:13">
      <c r="C662">
        <v>2100300025</v>
      </c>
      <c r="D662">
        <v>6426000</v>
      </c>
      <c r="E662" t="s">
        <v>188</v>
      </c>
      <c r="F662">
        <v>5105010109</v>
      </c>
      <c r="G662" s="13">
        <v>304678.90000000002</v>
      </c>
      <c r="I662" t="s">
        <v>160</v>
      </c>
      <c r="J662" t="s">
        <v>589</v>
      </c>
      <c r="K662" t="s">
        <v>165</v>
      </c>
      <c r="L662">
        <v>5500000700</v>
      </c>
      <c r="M662" t="s">
        <v>643</v>
      </c>
    </row>
    <row r="663" spans="3:13">
      <c r="C663">
        <v>2100300025</v>
      </c>
      <c r="D663">
        <v>6426000</v>
      </c>
      <c r="E663" t="s">
        <v>188</v>
      </c>
      <c r="F663">
        <v>5105010109</v>
      </c>
      <c r="G663" s="13">
        <v>295258.45</v>
      </c>
      <c r="I663" t="s">
        <v>160</v>
      </c>
      <c r="J663" t="s">
        <v>591</v>
      </c>
      <c r="K663" t="s">
        <v>165</v>
      </c>
      <c r="L663">
        <v>5500000777</v>
      </c>
      <c r="M663" t="s">
        <v>641</v>
      </c>
    </row>
    <row r="664" spans="3:13">
      <c r="C664">
        <v>2100300025</v>
      </c>
      <c r="D664">
        <v>5626000</v>
      </c>
      <c r="E664" t="s">
        <v>188</v>
      </c>
      <c r="F664">
        <v>5105010111</v>
      </c>
      <c r="G664">
        <v>41.73</v>
      </c>
      <c r="I664" t="s">
        <v>160</v>
      </c>
      <c r="J664" t="s">
        <v>571</v>
      </c>
      <c r="K664" t="s">
        <v>492</v>
      </c>
      <c r="L664">
        <v>5500000024</v>
      </c>
      <c r="M664" t="s">
        <v>647</v>
      </c>
    </row>
    <row r="665" spans="3:13">
      <c r="C665">
        <v>2100300025</v>
      </c>
      <c r="D665">
        <v>5626000</v>
      </c>
      <c r="E665" t="s">
        <v>188</v>
      </c>
      <c r="F665">
        <v>5105010111</v>
      </c>
      <c r="G665">
        <v>21.2</v>
      </c>
      <c r="I665" t="s">
        <v>160</v>
      </c>
      <c r="J665" t="s">
        <v>573</v>
      </c>
      <c r="K665" t="s">
        <v>492</v>
      </c>
      <c r="L665">
        <v>5500000097</v>
      </c>
      <c r="M665" t="s">
        <v>648</v>
      </c>
    </row>
    <row r="666" spans="3:13">
      <c r="C666">
        <v>2100300025</v>
      </c>
      <c r="D666">
        <v>5626000</v>
      </c>
      <c r="E666" t="s">
        <v>188</v>
      </c>
      <c r="F666">
        <v>5105010111</v>
      </c>
      <c r="G666">
        <v>21.21</v>
      </c>
      <c r="I666" t="s">
        <v>160</v>
      </c>
      <c r="J666" t="s">
        <v>575</v>
      </c>
      <c r="K666" t="s">
        <v>492</v>
      </c>
      <c r="L666">
        <v>5500000170</v>
      </c>
      <c r="M666" t="s">
        <v>649</v>
      </c>
    </row>
    <row r="667" spans="3:13">
      <c r="C667">
        <v>2100300025</v>
      </c>
      <c r="D667">
        <v>5626000</v>
      </c>
      <c r="E667" t="s">
        <v>188</v>
      </c>
      <c r="F667">
        <v>5105010111</v>
      </c>
      <c r="G667">
        <v>19.149999999999999</v>
      </c>
      <c r="I667" t="s">
        <v>160</v>
      </c>
      <c r="J667" t="s">
        <v>577</v>
      </c>
      <c r="K667" t="s">
        <v>492</v>
      </c>
      <c r="L667">
        <v>5500000246</v>
      </c>
      <c r="M667" t="s">
        <v>650</v>
      </c>
    </row>
    <row r="668" spans="3:13">
      <c r="C668">
        <v>2100300025</v>
      </c>
      <c r="D668">
        <v>5626000</v>
      </c>
      <c r="E668" t="s">
        <v>188</v>
      </c>
      <c r="F668">
        <v>5105010111</v>
      </c>
      <c r="G668">
        <v>21.2</v>
      </c>
      <c r="I668" t="s">
        <v>160</v>
      </c>
      <c r="J668" t="s">
        <v>579</v>
      </c>
      <c r="K668" t="s">
        <v>492</v>
      </c>
      <c r="L668">
        <v>5500000321</v>
      </c>
      <c r="M668" t="s">
        <v>651</v>
      </c>
    </row>
    <row r="669" spans="3:13">
      <c r="C669">
        <v>2100300025</v>
      </c>
      <c r="D669">
        <v>5626000</v>
      </c>
      <c r="E669" t="s">
        <v>188</v>
      </c>
      <c r="F669">
        <v>5105010111</v>
      </c>
      <c r="G669">
        <v>20.52</v>
      </c>
      <c r="I669" t="s">
        <v>160</v>
      </c>
      <c r="J669" t="s">
        <v>581</v>
      </c>
      <c r="K669" t="s">
        <v>492</v>
      </c>
      <c r="L669">
        <v>5500000396</v>
      </c>
      <c r="M669" t="s">
        <v>652</v>
      </c>
    </row>
    <row r="670" spans="3:13">
      <c r="C670">
        <v>2100300025</v>
      </c>
      <c r="D670">
        <v>5626000</v>
      </c>
      <c r="E670" t="s">
        <v>188</v>
      </c>
      <c r="F670">
        <v>5105010111</v>
      </c>
      <c r="G670">
        <v>21.21</v>
      </c>
      <c r="I670" t="s">
        <v>160</v>
      </c>
      <c r="J670" t="s">
        <v>583</v>
      </c>
      <c r="K670" t="s">
        <v>492</v>
      </c>
      <c r="L670">
        <v>5500000472</v>
      </c>
      <c r="M670" t="s">
        <v>653</v>
      </c>
    </row>
    <row r="671" spans="3:13">
      <c r="C671">
        <v>2100300025</v>
      </c>
      <c r="D671">
        <v>5626000</v>
      </c>
      <c r="E671" t="s">
        <v>188</v>
      </c>
      <c r="F671">
        <v>5105010111</v>
      </c>
      <c r="G671">
        <v>20.52</v>
      </c>
      <c r="I671" t="s">
        <v>160</v>
      </c>
      <c r="J671" t="s">
        <v>585</v>
      </c>
      <c r="K671" t="s">
        <v>492</v>
      </c>
      <c r="L671">
        <v>5500000549</v>
      </c>
      <c r="M671" t="s">
        <v>654</v>
      </c>
    </row>
    <row r="672" spans="3:13">
      <c r="C672">
        <v>2100300025</v>
      </c>
      <c r="D672">
        <v>5626000</v>
      </c>
      <c r="E672" t="s">
        <v>188</v>
      </c>
      <c r="F672">
        <v>5105010111</v>
      </c>
      <c r="G672">
        <v>21.2</v>
      </c>
      <c r="I672" t="s">
        <v>160</v>
      </c>
      <c r="J672" t="s">
        <v>587</v>
      </c>
      <c r="K672" t="s">
        <v>492</v>
      </c>
      <c r="L672">
        <v>5500000626</v>
      </c>
      <c r="M672" t="s">
        <v>655</v>
      </c>
    </row>
    <row r="673" spans="3:13">
      <c r="C673">
        <v>2100300025</v>
      </c>
      <c r="D673">
        <v>5626000</v>
      </c>
      <c r="E673" t="s">
        <v>188</v>
      </c>
      <c r="F673">
        <v>5105010111</v>
      </c>
      <c r="G673">
        <v>21.21</v>
      </c>
      <c r="I673" t="s">
        <v>160</v>
      </c>
      <c r="J673" t="s">
        <v>589</v>
      </c>
      <c r="K673" t="s">
        <v>492</v>
      </c>
      <c r="L673">
        <v>5500000703</v>
      </c>
      <c r="M673" t="s">
        <v>656</v>
      </c>
    </row>
    <row r="674" spans="3:13">
      <c r="C674">
        <v>2100300025</v>
      </c>
      <c r="D674">
        <v>5626000</v>
      </c>
      <c r="E674" t="s">
        <v>188</v>
      </c>
      <c r="F674">
        <v>5105010111</v>
      </c>
      <c r="G674">
        <v>20.52</v>
      </c>
      <c r="I674" t="s">
        <v>160</v>
      </c>
      <c r="J674" t="s">
        <v>591</v>
      </c>
      <c r="K674" t="s">
        <v>492</v>
      </c>
      <c r="L674">
        <v>5500000780</v>
      </c>
      <c r="M674" t="s">
        <v>657</v>
      </c>
    </row>
    <row r="675" spans="3:13">
      <c r="C675">
        <v>2100300025</v>
      </c>
      <c r="D675">
        <v>5726000</v>
      </c>
      <c r="E675" t="s">
        <v>188</v>
      </c>
      <c r="F675">
        <v>5105010111</v>
      </c>
      <c r="G675" s="13">
        <v>7236.44</v>
      </c>
      <c r="I675" t="s">
        <v>160</v>
      </c>
      <c r="J675" t="s">
        <v>571</v>
      </c>
      <c r="K675" t="s">
        <v>492</v>
      </c>
      <c r="L675">
        <v>5500000024</v>
      </c>
      <c r="M675" t="s">
        <v>647</v>
      </c>
    </row>
    <row r="676" spans="3:13">
      <c r="C676">
        <v>2100300025</v>
      </c>
      <c r="D676">
        <v>5726000</v>
      </c>
      <c r="E676" t="s">
        <v>188</v>
      </c>
      <c r="F676">
        <v>5105010111</v>
      </c>
      <c r="G676" s="13">
        <v>3677.53</v>
      </c>
      <c r="I676" t="s">
        <v>160</v>
      </c>
      <c r="J676" t="s">
        <v>573</v>
      </c>
      <c r="K676" t="s">
        <v>492</v>
      </c>
      <c r="L676">
        <v>5500000097</v>
      </c>
      <c r="M676" t="s">
        <v>648</v>
      </c>
    </row>
    <row r="677" spans="3:13">
      <c r="C677">
        <v>2100300025</v>
      </c>
      <c r="D677">
        <v>5726000</v>
      </c>
      <c r="E677" t="s">
        <v>188</v>
      </c>
      <c r="F677">
        <v>5105010111</v>
      </c>
      <c r="G677" s="13">
        <v>3677.54</v>
      </c>
      <c r="I677" t="s">
        <v>160</v>
      </c>
      <c r="J677" t="s">
        <v>575</v>
      </c>
      <c r="K677" t="s">
        <v>492</v>
      </c>
      <c r="L677">
        <v>5500000171</v>
      </c>
      <c r="M677" t="s">
        <v>658</v>
      </c>
    </row>
    <row r="678" spans="3:13">
      <c r="C678">
        <v>2100300025</v>
      </c>
      <c r="D678">
        <v>5726000</v>
      </c>
      <c r="E678" t="s">
        <v>188</v>
      </c>
      <c r="F678">
        <v>5105010111</v>
      </c>
      <c r="G678" s="13">
        <v>3321.64</v>
      </c>
      <c r="I678" t="s">
        <v>160</v>
      </c>
      <c r="J678" t="s">
        <v>577</v>
      </c>
      <c r="K678" t="s">
        <v>492</v>
      </c>
      <c r="L678">
        <v>5500000246</v>
      </c>
      <c r="M678" t="s">
        <v>650</v>
      </c>
    </row>
    <row r="679" spans="3:13">
      <c r="C679">
        <v>2100300025</v>
      </c>
      <c r="D679">
        <v>5726000</v>
      </c>
      <c r="E679" t="s">
        <v>188</v>
      </c>
      <c r="F679">
        <v>5105010111</v>
      </c>
      <c r="G679" s="13">
        <v>3677.53</v>
      </c>
      <c r="I679" t="s">
        <v>160</v>
      </c>
      <c r="J679" t="s">
        <v>579</v>
      </c>
      <c r="K679" t="s">
        <v>492</v>
      </c>
      <c r="L679">
        <v>5500000321</v>
      </c>
      <c r="M679" t="s">
        <v>651</v>
      </c>
    </row>
    <row r="680" spans="3:13">
      <c r="C680">
        <v>2100300025</v>
      </c>
      <c r="D680">
        <v>5726000</v>
      </c>
      <c r="E680" t="s">
        <v>188</v>
      </c>
      <c r="F680">
        <v>5105010111</v>
      </c>
      <c r="G680" s="13">
        <v>3558.91</v>
      </c>
      <c r="I680" t="s">
        <v>160</v>
      </c>
      <c r="J680" t="s">
        <v>581</v>
      </c>
      <c r="K680" t="s">
        <v>492</v>
      </c>
      <c r="L680">
        <v>5500000396</v>
      </c>
      <c r="M680" t="s">
        <v>652</v>
      </c>
    </row>
    <row r="681" spans="3:13">
      <c r="C681">
        <v>2100300025</v>
      </c>
      <c r="D681">
        <v>5726000</v>
      </c>
      <c r="E681" t="s">
        <v>188</v>
      </c>
      <c r="F681">
        <v>5105010111</v>
      </c>
      <c r="G681" s="13">
        <v>3677.53</v>
      </c>
      <c r="I681" t="s">
        <v>160</v>
      </c>
      <c r="J681" t="s">
        <v>583</v>
      </c>
      <c r="K681" t="s">
        <v>492</v>
      </c>
      <c r="L681">
        <v>5500000472</v>
      </c>
      <c r="M681" t="s">
        <v>653</v>
      </c>
    </row>
    <row r="682" spans="3:13">
      <c r="C682">
        <v>2100300025</v>
      </c>
      <c r="D682">
        <v>5726000</v>
      </c>
      <c r="E682" t="s">
        <v>188</v>
      </c>
      <c r="F682">
        <v>5105010111</v>
      </c>
      <c r="G682" s="13">
        <v>3558.91</v>
      </c>
      <c r="I682" t="s">
        <v>160</v>
      </c>
      <c r="J682" t="s">
        <v>585</v>
      </c>
      <c r="K682" t="s">
        <v>492</v>
      </c>
      <c r="L682">
        <v>5500000549</v>
      </c>
      <c r="M682" t="s">
        <v>654</v>
      </c>
    </row>
    <row r="683" spans="3:13">
      <c r="C683">
        <v>2100300025</v>
      </c>
      <c r="D683">
        <v>5726000</v>
      </c>
      <c r="E683" t="s">
        <v>188</v>
      </c>
      <c r="F683">
        <v>5105010111</v>
      </c>
      <c r="G683" s="13">
        <v>3677.53</v>
      </c>
      <c r="I683" t="s">
        <v>160</v>
      </c>
      <c r="J683" t="s">
        <v>587</v>
      </c>
      <c r="K683" t="s">
        <v>492</v>
      </c>
      <c r="L683">
        <v>5500000626</v>
      </c>
      <c r="M683" t="s">
        <v>655</v>
      </c>
    </row>
    <row r="684" spans="3:13">
      <c r="C684">
        <v>2100300025</v>
      </c>
      <c r="D684">
        <v>5726000</v>
      </c>
      <c r="E684" t="s">
        <v>188</v>
      </c>
      <c r="F684">
        <v>5105010111</v>
      </c>
      <c r="G684" s="13">
        <v>3677.54</v>
      </c>
      <c r="I684" t="s">
        <v>160</v>
      </c>
      <c r="J684" t="s">
        <v>589</v>
      </c>
      <c r="K684" t="s">
        <v>492</v>
      </c>
      <c r="L684">
        <v>5500000703</v>
      </c>
      <c r="M684" t="s">
        <v>656</v>
      </c>
    </row>
    <row r="685" spans="3:13">
      <c r="C685">
        <v>2100300025</v>
      </c>
      <c r="D685">
        <v>5726000</v>
      </c>
      <c r="E685" t="s">
        <v>188</v>
      </c>
      <c r="F685">
        <v>5105010111</v>
      </c>
      <c r="G685" s="13">
        <v>3558.9</v>
      </c>
      <c r="I685" t="s">
        <v>160</v>
      </c>
      <c r="J685" t="s">
        <v>591</v>
      </c>
      <c r="K685" t="s">
        <v>492</v>
      </c>
      <c r="L685">
        <v>5500000780</v>
      </c>
      <c r="M685" t="s">
        <v>657</v>
      </c>
    </row>
    <row r="686" spans="3:13">
      <c r="C686">
        <v>2100300025</v>
      </c>
      <c r="D686">
        <v>5926000</v>
      </c>
      <c r="E686" t="s">
        <v>188</v>
      </c>
      <c r="F686">
        <v>5105010111</v>
      </c>
      <c r="G686" s="13">
        <v>38909.11</v>
      </c>
      <c r="I686" t="s">
        <v>160</v>
      </c>
      <c r="J686" t="s">
        <v>571</v>
      </c>
      <c r="K686" t="s">
        <v>492</v>
      </c>
      <c r="L686">
        <v>5500000024</v>
      </c>
      <c r="M686" t="s">
        <v>647</v>
      </c>
    </row>
    <row r="687" spans="3:13">
      <c r="C687">
        <v>2100300025</v>
      </c>
      <c r="D687">
        <v>5926000</v>
      </c>
      <c r="E687" t="s">
        <v>188</v>
      </c>
      <c r="F687">
        <v>5105010111</v>
      </c>
      <c r="G687" s="13">
        <v>19773.48</v>
      </c>
      <c r="I687" t="s">
        <v>160</v>
      </c>
      <c r="J687" t="s">
        <v>573</v>
      </c>
      <c r="K687" t="s">
        <v>492</v>
      </c>
      <c r="L687">
        <v>5500000097</v>
      </c>
      <c r="M687" t="s">
        <v>648</v>
      </c>
    </row>
    <row r="688" spans="3:13">
      <c r="C688">
        <v>2100300025</v>
      </c>
      <c r="D688">
        <v>5926000</v>
      </c>
      <c r="E688" t="s">
        <v>188</v>
      </c>
      <c r="F688">
        <v>5105010111</v>
      </c>
      <c r="G688" s="13">
        <v>19773.490000000002</v>
      </c>
      <c r="I688" t="s">
        <v>160</v>
      </c>
      <c r="J688" t="s">
        <v>575</v>
      </c>
      <c r="K688" t="s">
        <v>492</v>
      </c>
      <c r="L688">
        <v>5500000171</v>
      </c>
      <c r="M688" t="s">
        <v>658</v>
      </c>
    </row>
    <row r="689" spans="3:13">
      <c r="C689">
        <v>2100300025</v>
      </c>
      <c r="D689">
        <v>5926000</v>
      </c>
      <c r="E689" t="s">
        <v>188</v>
      </c>
      <c r="F689">
        <v>5105010111</v>
      </c>
      <c r="G689" s="13">
        <v>17859.919999999998</v>
      </c>
      <c r="I689" t="s">
        <v>160</v>
      </c>
      <c r="J689" t="s">
        <v>577</v>
      </c>
      <c r="K689" t="s">
        <v>492</v>
      </c>
      <c r="L689">
        <v>5500000246</v>
      </c>
      <c r="M689" t="s">
        <v>650</v>
      </c>
    </row>
    <row r="690" spans="3:13">
      <c r="C690">
        <v>2100300025</v>
      </c>
      <c r="D690">
        <v>5926000</v>
      </c>
      <c r="E690" t="s">
        <v>188</v>
      </c>
      <c r="F690">
        <v>5105010111</v>
      </c>
      <c r="G690" s="13">
        <v>19773.48</v>
      </c>
      <c r="I690" t="s">
        <v>160</v>
      </c>
      <c r="J690" t="s">
        <v>579</v>
      </c>
      <c r="K690" t="s">
        <v>492</v>
      </c>
      <c r="L690">
        <v>5500000321</v>
      </c>
      <c r="M690" t="s">
        <v>651</v>
      </c>
    </row>
    <row r="691" spans="3:13">
      <c r="C691">
        <v>2100300025</v>
      </c>
      <c r="D691">
        <v>5926000</v>
      </c>
      <c r="E691" t="s">
        <v>188</v>
      </c>
      <c r="F691">
        <v>5105010111</v>
      </c>
      <c r="G691" s="13">
        <v>19135.63</v>
      </c>
      <c r="I691" t="s">
        <v>160</v>
      </c>
      <c r="J691" t="s">
        <v>581</v>
      </c>
      <c r="K691" t="s">
        <v>492</v>
      </c>
      <c r="L691">
        <v>5500000396</v>
      </c>
      <c r="M691" t="s">
        <v>652</v>
      </c>
    </row>
    <row r="692" spans="3:13">
      <c r="C692">
        <v>2100300025</v>
      </c>
      <c r="D692">
        <v>5926000</v>
      </c>
      <c r="E692" t="s">
        <v>188</v>
      </c>
      <c r="F692">
        <v>5105010111</v>
      </c>
      <c r="G692" s="13">
        <v>19773.48</v>
      </c>
      <c r="I692" t="s">
        <v>160</v>
      </c>
      <c r="J692" t="s">
        <v>583</v>
      </c>
      <c r="K692" t="s">
        <v>492</v>
      </c>
      <c r="L692">
        <v>5500000472</v>
      </c>
      <c r="M692" t="s">
        <v>653</v>
      </c>
    </row>
    <row r="693" spans="3:13">
      <c r="C693">
        <v>2100300025</v>
      </c>
      <c r="D693">
        <v>5926000</v>
      </c>
      <c r="E693" t="s">
        <v>188</v>
      </c>
      <c r="F693">
        <v>5105010111</v>
      </c>
      <c r="G693" s="13">
        <v>19135.63</v>
      </c>
      <c r="I693" t="s">
        <v>160</v>
      </c>
      <c r="J693" t="s">
        <v>585</v>
      </c>
      <c r="K693" t="s">
        <v>492</v>
      </c>
      <c r="L693">
        <v>5500000549</v>
      </c>
      <c r="M693" t="s">
        <v>654</v>
      </c>
    </row>
    <row r="694" spans="3:13">
      <c r="C694">
        <v>2100300025</v>
      </c>
      <c r="D694">
        <v>5926000</v>
      </c>
      <c r="E694" t="s">
        <v>188</v>
      </c>
      <c r="F694">
        <v>5105010111</v>
      </c>
      <c r="G694" s="13">
        <v>19773.48</v>
      </c>
      <c r="I694" t="s">
        <v>160</v>
      </c>
      <c r="J694" t="s">
        <v>587</v>
      </c>
      <c r="K694" t="s">
        <v>492</v>
      </c>
      <c r="L694">
        <v>5500000626</v>
      </c>
      <c r="M694" t="s">
        <v>655</v>
      </c>
    </row>
    <row r="695" spans="3:13">
      <c r="C695">
        <v>2100300025</v>
      </c>
      <c r="D695">
        <v>5926000</v>
      </c>
      <c r="E695" t="s">
        <v>188</v>
      </c>
      <c r="F695">
        <v>5105010111</v>
      </c>
      <c r="G695" s="13">
        <v>8928.9599999999991</v>
      </c>
      <c r="I695" t="s">
        <v>160</v>
      </c>
      <c r="J695" t="s">
        <v>589</v>
      </c>
      <c r="K695" t="s">
        <v>492</v>
      </c>
      <c r="L695">
        <v>5500000703</v>
      </c>
      <c r="M695" t="s">
        <v>656</v>
      </c>
    </row>
    <row r="696" spans="3:13">
      <c r="C696">
        <v>2100300025</v>
      </c>
      <c r="D696">
        <v>6026000</v>
      </c>
      <c r="E696" t="s">
        <v>188</v>
      </c>
      <c r="F696">
        <v>5105010111</v>
      </c>
      <c r="G696" s="13">
        <v>1938.63</v>
      </c>
      <c r="I696" t="s">
        <v>160</v>
      </c>
      <c r="J696" t="s">
        <v>571</v>
      </c>
      <c r="K696" t="s">
        <v>492</v>
      </c>
      <c r="L696">
        <v>5500000024</v>
      </c>
      <c r="M696" t="s">
        <v>647</v>
      </c>
    </row>
    <row r="697" spans="3:13">
      <c r="C697">
        <v>2100300025</v>
      </c>
      <c r="D697">
        <v>6026000</v>
      </c>
      <c r="E697" t="s">
        <v>188</v>
      </c>
      <c r="F697">
        <v>5105010111</v>
      </c>
      <c r="G697">
        <v>985.21</v>
      </c>
      <c r="I697" t="s">
        <v>160</v>
      </c>
      <c r="J697" t="s">
        <v>573</v>
      </c>
      <c r="K697" t="s">
        <v>492</v>
      </c>
      <c r="L697">
        <v>5500000097</v>
      </c>
      <c r="M697" t="s">
        <v>648</v>
      </c>
    </row>
    <row r="698" spans="3:13">
      <c r="C698">
        <v>2100300025</v>
      </c>
      <c r="D698">
        <v>6026000</v>
      </c>
      <c r="E698" t="s">
        <v>188</v>
      </c>
      <c r="F698">
        <v>5105010111</v>
      </c>
      <c r="G698">
        <v>985.2</v>
      </c>
      <c r="I698" t="s">
        <v>160</v>
      </c>
      <c r="J698" t="s">
        <v>575</v>
      </c>
      <c r="K698" t="s">
        <v>492</v>
      </c>
      <c r="L698">
        <v>5500000171</v>
      </c>
      <c r="M698" t="s">
        <v>658</v>
      </c>
    </row>
    <row r="699" spans="3:13">
      <c r="C699">
        <v>2100300025</v>
      </c>
      <c r="D699">
        <v>6026000</v>
      </c>
      <c r="E699" t="s">
        <v>188</v>
      </c>
      <c r="F699">
        <v>5105010111</v>
      </c>
      <c r="G699">
        <v>889.86</v>
      </c>
      <c r="I699" t="s">
        <v>160</v>
      </c>
      <c r="J699" t="s">
        <v>577</v>
      </c>
      <c r="K699" t="s">
        <v>492</v>
      </c>
      <c r="L699">
        <v>5500000246</v>
      </c>
      <c r="M699" t="s">
        <v>650</v>
      </c>
    </row>
    <row r="700" spans="3:13">
      <c r="C700">
        <v>2100300025</v>
      </c>
      <c r="D700">
        <v>6026000</v>
      </c>
      <c r="E700" t="s">
        <v>188</v>
      </c>
      <c r="F700">
        <v>5105010111</v>
      </c>
      <c r="G700">
        <v>985.21</v>
      </c>
      <c r="I700" t="s">
        <v>160</v>
      </c>
      <c r="J700" t="s">
        <v>579</v>
      </c>
      <c r="K700" t="s">
        <v>492</v>
      </c>
      <c r="L700">
        <v>5500000321</v>
      </c>
      <c r="M700" t="s">
        <v>651</v>
      </c>
    </row>
    <row r="701" spans="3:13">
      <c r="C701">
        <v>2100300025</v>
      </c>
      <c r="D701">
        <v>6026000</v>
      </c>
      <c r="E701" t="s">
        <v>188</v>
      </c>
      <c r="F701">
        <v>5105010111</v>
      </c>
      <c r="G701">
        <v>953.42</v>
      </c>
      <c r="I701" t="s">
        <v>160</v>
      </c>
      <c r="J701" t="s">
        <v>581</v>
      </c>
      <c r="K701" t="s">
        <v>492</v>
      </c>
      <c r="L701">
        <v>5500000396</v>
      </c>
      <c r="M701" t="s">
        <v>652</v>
      </c>
    </row>
    <row r="702" spans="3:13">
      <c r="C702">
        <v>2100300025</v>
      </c>
      <c r="D702">
        <v>6026000</v>
      </c>
      <c r="E702" t="s">
        <v>188</v>
      </c>
      <c r="F702">
        <v>5105010111</v>
      </c>
      <c r="G702">
        <v>985.21</v>
      </c>
      <c r="I702" t="s">
        <v>160</v>
      </c>
      <c r="J702" t="s">
        <v>583</v>
      </c>
      <c r="K702" t="s">
        <v>492</v>
      </c>
      <c r="L702">
        <v>5500000472</v>
      </c>
      <c r="M702" t="s">
        <v>653</v>
      </c>
    </row>
    <row r="703" spans="3:13">
      <c r="C703">
        <v>2100300025</v>
      </c>
      <c r="D703">
        <v>6026000</v>
      </c>
      <c r="E703" t="s">
        <v>188</v>
      </c>
      <c r="F703">
        <v>5105010111</v>
      </c>
      <c r="G703">
        <v>953.42</v>
      </c>
      <c r="I703" t="s">
        <v>160</v>
      </c>
      <c r="J703" t="s">
        <v>585</v>
      </c>
      <c r="K703" t="s">
        <v>492</v>
      </c>
      <c r="L703">
        <v>5500000549</v>
      </c>
      <c r="M703" t="s">
        <v>654</v>
      </c>
    </row>
    <row r="704" spans="3:13">
      <c r="C704">
        <v>2100300025</v>
      </c>
      <c r="D704">
        <v>6026000</v>
      </c>
      <c r="E704" t="s">
        <v>188</v>
      </c>
      <c r="F704">
        <v>5105010111</v>
      </c>
      <c r="G704">
        <v>985.21</v>
      </c>
      <c r="I704" t="s">
        <v>160</v>
      </c>
      <c r="J704" t="s">
        <v>587</v>
      </c>
      <c r="K704" t="s">
        <v>492</v>
      </c>
      <c r="L704">
        <v>5500000626</v>
      </c>
      <c r="M704" t="s">
        <v>655</v>
      </c>
    </row>
    <row r="705" spans="3:13">
      <c r="C705">
        <v>2100300025</v>
      </c>
      <c r="D705">
        <v>6026000</v>
      </c>
      <c r="E705" t="s">
        <v>188</v>
      </c>
      <c r="F705">
        <v>5105010111</v>
      </c>
      <c r="G705">
        <v>985.21</v>
      </c>
      <c r="I705" t="s">
        <v>160</v>
      </c>
      <c r="J705" t="s">
        <v>589</v>
      </c>
      <c r="K705" t="s">
        <v>492</v>
      </c>
      <c r="L705">
        <v>5500000703</v>
      </c>
      <c r="M705" t="s">
        <v>656</v>
      </c>
    </row>
    <row r="706" spans="3:13">
      <c r="C706">
        <v>2100300025</v>
      </c>
      <c r="D706">
        <v>6026000</v>
      </c>
      <c r="E706" t="s">
        <v>188</v>
      </c>
      <c r="F706">
        <v>5105010111</v>
      </c>
      <c r="G706">
        <v>953.42</v>
      </c>
      <c r="I706" t="s">
        <v>160</v>
      </c>
      <c r="J706" t="s">
        <v>591</v>
      </c>
      <c r="K706" t="s">
        <v>492</v>
      </c>
      <c r="L706">
        <v>5500000780</v>
      </c>
      <c r="M706" t="s">
        <v>657</v>
      </c>
    </row>
    <row r="707" spans="3:13">
      <c r="C707">
        <v>2100300025</v>
      </c>
      <c r="D707">
        <v>6126000</v>
      </c>
      <c r="E707" t="s">
        <v>188</v>
      </c>
      <c r="F707">
        <v>5105010111</v>
      </c>
      <c r="G707" s="13">
        <v>19553.419999999998</v>
      </c>
      <c r="I707" t="s">
        <v>160</v>
      </c>
      <c r="J707" t="s">
        <v>571</v>
      </c>
      <c r="K707" t="s">
        <v>492</v>
      </c>
      <c r="L707">
        <v>5500000024</v>
      </c>
      <c r="M707" t="s">
        <v>647</v>
      </c>
    </row>
    <row r="708" spans="3:13">
      <c r="C708">
        <v>2100300025</v>
      </c>
      <c r="D708">
        <v>6126000</v>
      </c>
      <c r="E708" t="s">
        <v>188</v>
      </c>
      <c r="F708">
        <v>5105010111</v>
      </c>
      <c r="G708" s="13">
        <v>9936.99</v>
      </c>
      <c r="I708" t="s">
        <v>160</v>
      </c>
      <c r="J708" t="s">
        <v>573</v>
      </c>
      <c r="K708" t="s">
        <v>492</v>
      </c>
      <c r="L708">
        <v>5500000098</v>
      </c>
      <c r="M708" t="s">
        <v>659</v>
      </c>
    </row>
    <row r="709" spans="3:13">
      <c r="C709">
        <v>2100300025</v>
      </c>
      <c r="D709">
        <v>6126000</v>
      </c>
      <c r="E709" t="s">
        <v>188</v>
      </c>
      <c r="F709">
        <v>5105010111</v>
      </c>
      <c r="G709" s="13">
        <v>9936.99</v>
      </c>
      <c r="I709" t="s">
        <v>160</v>
      </c>
      <c r="J709" t="s">
        <v>575</v>
      </c>
      <c r="K709" t="s">
        <v>492</v>
      </c>
      <c r="L709">
        <v>5500000171</v>
      </c>
      <c r="M709" t="s">
        <v>658</v>
      </c>
    </row>
    <row r="710" spans="3:13">
      <c r="C710">
        <v>2100300025</v>
      </c>
      <c r="D710">
        <v>6126000</v>
      </c>
      <c r="E710" t="s">
        <v>188</v>
      </c>
      <c r="F710">
        <v>5105010111</v>
      </c>
      <c r="G710" s="13">
        <v>8975.34</v>
      </c>
      <c r="I710" t="s">
        <v>160</v>
      </c>
      <c r="J710" t="s">
        <v>577</v>
      </c>
      <c r="K710" t="s">
        <v>492</v>
      </c>
      <c r="L710">
        <v>5500000246</v>
      </c>
      <c r="M710" t="s">
        <v>650</v>
      </c>
    </row>
    <row r="711" spans="3:13">
      <c r="C711">
        <v>2100300025</v>
      </c>
      <c r="D711">
        <v>6126000</v>
      </c>
      <c r="E711" t="s">
        <v>188</v>
      </c>
      <c r="F711">
        <v>5105010111</v>
      </c>
      <c r="G711" s="13">
        <v>9936.99</v>
      </c>
      <c r="I711" t="s">
        <v>160</v>
      </c>
      <c r="J711" t="s">
        <v>579</v>
      </c>
      <c r="K711" t="s">
        <v>492</v>
      </c>
      <c r="L711">
        <v>5500000321</v>
      </c>
      <c r="M711" t="s">
        <v>651</v>
      </c>
    </row>
    <row r="712" spans="3:13">
      <c r="C712">
        <v>2100300025</v>
      </c>
      <c r="D712">
        <v>6126000</v>
      </c>
      <c r="E712" t="s">
        <v>188</v>
      </c>
      <c r="F712">
        <v>5105010111</v>
      </c>
      <c r="G712" s="13">
        <v>9616.43</v>
      </c>
      <c r="I712" t="s">
        <v>160</v>
      </c>
      <c r="J712" t="s">
        <v>581</v>
      </c>
      <c r="K712" t="s">
        <v>492</v>
      </c>
      <c r="L712">
        <v>5500000396</v>
      </c>
      <c r="M712" t="s">
        <v>652</v>
      </c>
    </row>
    <row r="713" spans="3:13">
      <c r="C713">
        <v>2100300025</v>
      </c>
      <c r="D713">
        <v>6126000</v>
      </c>
      <c r="E713" t="s">
        <v>188</v>
      </c>
      <c r="F713">
        <v>5105010111</v>
      </c>
      <c r="G713" s="13">
        <v>9936.99</v>
      </c>
      <c r="I713" t="s">
        <v>160</v>
      </c>
      <c r="J713" t="s">
        <v>583</v>
      </c>
      <c r="K713" t="s">
        <v>492</v>
      </c>
      <c r="L713">
        <v>5500000472</v>
      </c>
      <c r="M713" t="s">
        <v>653</v>
      </c>
    </row>
    <row r="714" spans="3:13">
      <c r="C714">
        <v>2100300025</v>
      </c>
      <c r="D714">
        <v>6126000</v>
      </c>
      <c r="E714" t="s">
        <v>188</v>
      </c>
      <c r="F714">
        <v>5105010111</v>
      </c>
      <c r="G714" s="13">
        <v>9616.44</v>
      </c>
      <c r="I714" t="s">
        <v>160</v>
      </c>
      <c r="J714" t="s">
        <v>585</v>
      </c>
      <c r="K714" t="s">
        <v>492</v>
      </c>
      <c r="L714">
        <v>5500000549</v>
      </c>
      <c r="M714" t="s">
        <v>654</v>
      </c>
    </row>
    <row r="715" spans="3:13">
      <c r="C715">
        <v>2100300025</v>
      </c>
      <c r="D715">
        <v>6126000</v>
      </c>
      <c r="E715" t="s">
        <v>188</v>
      </c>
      <c r="F715">
        <v>5105010111</v>
      </c>
      <c r="G715" s="13">
        <v>9936.99</v>
      </c>
      <c r="I715" t="s">
        <v>160</v>
      </c>
      <c r="J715" t="s">
        <v>587</v>
      </c>
      <c r="K715" t="s">
        <v>492</v>
      </c>
      <c r="L715">
        <v>5500000626</v>
      </c>
      <c r="M715" t="s">
        <v>655</v>
      </c>
    </row>
    <row r="716" spans="3:13">
      <c r="C716">
        <v>2100300025</v>
      </c>
      <c r="D716">
        <v>6126000</v>
      </c>
      <c r="E716" t="s">
        <v>188</v>
      </c>
      <c r="F716">
        <v>5105010111</v>
      </c>
      <c r="G716" s="13">
        <v>9936.98</v>
      </c>
      <c r="I716" t="s">
        <v>160</v>
      </c>
      <c r="J716" t="s">
        <v>589</v>
      </c>
      <c r="K716" t="s">
        <v>492</v>
      </c>
      <c r="L716">
        <v>5500000703</v>
      </c>
      <c r="M716" t="s">
        <v>656</v>
      </c>
    </row>
    <row r="717" spans="3:13">
      <c r="C717">
        <v>2100300025</v>
      </c>
      <c r="D717">
        <v>6126000</v>
      </c>
      <c r="E717" t="s">
        <v>188</v>
      </c>
      <c r="F717">
        <v>5105010111</v>
      </c>
      <c r="G717" s="13">
        <v>9616.44</v>
      </c>
      <c r="I717" t="s">
        <v>160</v>
      </c>
      <c r="J717" t="s">
        <v>591</v>
      </c>
      <c r="K717" t="s">
        <v>492</v>
      </c>
      <c r="L717">
        <v>5500000780</v>
      </c>
      <c r="M717" t="s">
        <v>657</v>
      </c>
    </row>
    <row r="718" spans="3:13">
      <c r="C718">
        <v>2100300025</v>
      </c>
      <c r="D718">
        <v>6226000</v>
      </c>
      <c r="E718" t="s">
        <v>188</v>
      </c>
      <c r="F718">
        <v>5105010111</v>
      </c>
      <c r="G718" s="13">
        <v>40790.120000000003</v>
      </c>
      <c r="I718" t="s">
        <v>160</v>
      </c>
      <c r="J718" t="s">
        <v>571</v>
      </c>
      <c r="K718" t="s">
        <v>492</v>
      </c>
      <c r="L718">
        <v>5500000024</v>
      </c>
      <c r="M718" t="s">
        <v>647</v>
      </c>
    </row>
    <row r="719" spans="3:13">
      <c r="C719">
        <v>2100300025</v>
      </c>
      <c r="D719">
        <v>6226000</v>
      </c>
      <c r="E719" t="s">
        <v>188</v>
      </c>
      <c r="F719">
        <v>5105010111</v>
      </c>
      <c r="G719" s="13">
        <v>20729.39</v>
      </c>
      <c r="I719" t="s">
        <v>160</v>
      </c>
      <c r="J719" t="s">
        <v>573</v>
      </c>
      <c r="K719" t="s">
        <v>492</v>
      </c>
      <c r="L719">
        <v>5500000098</v>
      </c>
      <c r="M719" t="s">
        <v>659</v>
      </c>
    </row>
    <row r="720" spans="3:13">
      <c r="C720">
        <v>2100300025</v>
      </c>
      <c r="D720">
        <v>6226000</v>
      </c>
      <c r="E720" t="s">
        <v>188</v>
      </c>
      <c r="F720">
        <v>5105010111</v>
      </c>
      <c r="G720" s="13">
        <v>20729.41</v>
      </c>
      <c r="I720" t="s">
        <v>160</v>
      </c>
      <c r="J720" t="s">
        <v>575</v>
      </c>
      <c r="K720" t="s">
        <v>492</v>
      </c>
      <c r="L720">
        <v>5500000171</v>
      </c>
      <c r="M720" t="s">
        <v>658</v>
      </c>
    </row>
    <row r="721" spans="3:13">
      <c r="C721">
        <v>2100300025</v>
      </c>
      <c r="D721">
        <v>6226000</v>
      </c>
      <c r="E721" t="s">
        <v>188</v>
      </c>
      <c r="F721">
        <v>5105010111</v>
      </c>
      <c r="G721" s="13">
        <v>18723.330000000002</v>
      </c>
      <c r="I721" t="s">
        <v>160</v>
      </c>
      <c r="J721" t="s">
        <v>577</v>
      </c>
      <c r="K721" t="s">
        <v>492</v>
      </c>
      <c r="L721">
        <v>5500000246</v>
      </c>
      <c r="M721" t="s">
        <v>650</v>
      </c>
    </row>
    <row r="722" spans="3:13">
      <c r="C722">
        <v>2100300025</v>
      </c>
      <c r="D722">
        <v>6226000</v>
      </c>
      <c r="E722" t="s">
        <v>188</v>
      </c>
      <c r="F722">
        <v>5105010111</v>
      </c>
      <c r="G722" s="13">
        <v>20729.400000000001</v>
      </c>
      <c r="I722" t="s">
        <v>160</v>
      </c>
      <c r="J722" t="s">
        <v>579</v>
      </c>
      <c r="K722" t="s">
        <v>492</v>
      </c>
      <c r="L722">
        <v>5500000321</v>
      </c>
      <c r="M722" t="s">
        <v>651</v>
      </c>
    </row>
    <row r="723" spans="3:13">
      <c r="C723">
        <v>2100300025</v>
      </c>
      <c r="D723">
        <v>6226000</v>
      </c>
      <c r="E723" t="s">
        <v>188</v>
      </c>
      <c r="F723">
        <v>5105010111</v>
      </c>
      <c r="G723" s="13">
        <v>20060.72</v>
      </c>
      <c r="I723" t="s">
        <v>160</v>
      </c>
      <c r="J723" t="s">
        <v>581</v>
      </c>
      <c r="K723" t="s">
        <v>492</v>
      </c>
      <c r="L723">
        <v>5500000396</v>
      </c>
      <c r="M723" t="s">
        <v>652</v>
      </c>
    </row>
    <row r="724" spans="3:13">
      <c r="C724">
        <v>2100300025</v>
      </c>
      <c r="D724">
        <v>6226000</v>
      </c>
      <c r="E724" t="s">
        <v>188</v>
      </c>
      <c r="F724">
        <v>5105010111</v>
      </c>
      <c r="G724" s="13">
        <v>20729.400000000001</v>
      </c>
      <c r="I724" t="s">
        <v>160</v>
      </c>
      <c r="J724" t="s">
        <v>583</v>
      </c>
      <c r="K724" t="s">
        <v>492</v>
      </c>
      <c r="L724">
        <v>5500000472</v>
      </c>
      <c r="M724" t="s">
        <v>653</v>
      </c>
    </row>
    <row r="725" spans="3:13">
      <c r="C725">
        <v>2100300025</v>
      </c>
      <c r="D725">
        <v>6226000</v>
      </c>
      <c r="E725" t="s">
        <v>188</v>
      </c>
      <c r="F725">
        <v>5105010111</v>
      </c>
      <c r="G725" s="13">
        <v>20060.72</v>
      </c>
      <c r="I725" t="s">
        <v>160</v>
      </c>
      <c r="J725" t="s">
        <v>585</v>
      </c>
      <c r="K725" t="s">
        <v>492</v>
      </c>
      <c r="L725">
        <v>5500000549</v>
      </c>
      <c r="M725" t="s">
        <v>654</v>
      </c>
    </row>
    <row r="726" spans="3:13">
      <c r="C726">
        <v>2100300025</v>
      </c>
      <c r="D726">
        <v>6226000</v>
      </c>
      <c r="E726" t="s">
        <v>188</v>
      </c>
      <c r="F726">
        <v>5105010111</v>
      </c>
      <c r="G726" s="13">
        <v>20729.39</v>
      </c>
      <c r="I726" t="s">
        <v>160</v>
      </c>
      <c r="J726" t="s">
        <v>587</v>
      </c>
      <c r="K726" t="s">
        <v>492</v>
      </c>
      <c r="L726">
        <v>5500000626</v>
      </c>
      <c r="M726" t="s">
        <v>655</v>
      </c>
    </row>
    <row r="727" spans="3:13">
      <c r="C727">
        <v>2100300025</v>
      </c>
      <c r="D727">
        <v>6226000</v>
      </c>
      <c r="E727" t="s">
        <v>188</v>
      </c>
      <c r="F727">
        <v>5105010111</v>
      </c>
      <c r="G727" s="13">
        <v>20729.400000000001</v>
      </c>
      <c r="I727" t="s">
        <v>160</v>
      </c>
      <c r="J727" t="s">
        <v>589</v>
      </c>
      <c r="K727" t="s">
        <v>492</v>
      </c>
      <c r="L727">
        <v>5500000703</v>
      </c>
      <c r="M727" t="s">
        <v>656</v>
      </c>
    </row>
    <row r="728" spans="3:13">
      <c r="C728">
        <v>2100300025</v>
      </c>
      <c r="D728">
        <v>6226000</v>
      </c>
      <c r="E728" t="s">
        <v>188</v>
      </c>
      <c r="F728">
        <v>5105010111</v>
      </c>
      <c r="G728" s="13">
        <v>20060.72</v>
      </c>
      <c r="I728" t="s">
        <v>160</v>
      </c>
      <c r="J728" t="s">
        <v>591</v>
      </c>
      <c r="K728" t="s">
        <v>492</v>
      </c>
      <c r="L728">
        <v>5500000780</v>
      </c>
      <c r="M728" t="s">
        <v>657</v>
      </c>
    </row>
    <row r="729" spans="3:13">
      <c r="C729">
        <v>2100300025</v>
      </c>
      <c r="D729">
        <v>6426000</v>
      </c>
      <c r="E729" t="s">
        <v>188</v>
      </c>
      <c r="F729">
        <v>5105010111</v>
      </c>
      <c r="G729" s="13">
        <v>2295.89</v>
      </c>
      <c r="I729" t="s">
        <v>160</v>
      </c>
      <c r="J729" t="s">
        <v>583</v>
      </c>
      <c r="K729" t="s">
        <v>492</v>
      </c>
      <c r="L729">
        <v>5500000472</v>
      </c>
      <c r="M729" t="s">
        <v>653</v>
      </c>
    </row>
    <row r="730" spans="3:13">
      <c r="C730">
        <v>2100300025</v>
      </c>
      <c r="D730">
        <v>6426000</v>
      </c>
      <c r="E730" t="s">
        <v>188</v>
      </c>
      <c r="F730">
        <v>5105010111</v>
      </c>
      <c r="G730" s="13">
        <v>7068.5</v>
      </c>
      <c r="I730" t="s">
        <v>160</v>
      </c>
      <c r="J730" t="s">
        <v>585</v>
      </c>
      <c r="K730" t="s">
        <v>492</v>
      </c>
      <c r="L730">
        <v>5500000549</v>
      </c>
      <c r="M730" t="s">
        <v>654</v>
      </c>
    </row>
    <row r="731" spans="3:13">
      <c r="C731">
        <v>2100300025</v>
      </c>
      <c r="D731">
        <v>6426000</v>
      </c>
      <c r="E731" t="s">
        <v>188</v>
      </c>
      <c r="F731">
        <v>5105010111</v>
      </c>
      <c r="G731" s="13">
        <v>7304.1</v>
      </c>
      <c r="I731" t="s">
        <v>160</v>
      </c>
      <c r="J731" t="s">
        <v>587</v>
      </c>
      <c r="K731" t="s">
        <v>492</v>
      </c>
      <c r="L731">
        <v>5500000626</v>
      </c>
      <c r="M731" t="s">
        <v>655</v>
      </c>
    </row>
    <row r="732" spans="3:13">
      <c r="C732">
        <v>2100300025</v>
      </c>
      <c r="D732">
        <v>6426000</v>
      </c>
      <c r="E732" t="s">
        <v>188</v>
      </c>
      <c r="F732">
        <v>5105010111</v>
      </c>
      <c r="G732" s="13">
        <v>7304.12</v>
      </c>
      <c r="I732" t="s">
        <v>160</v>
      </c>
      <c r="J732" t="s">
        <v>589</v>
      </c>
      <c r="K732" t="s">
        <v>492</v>
      </c>
      <c r="L732">
        <v>5500000703</v>
      </c>
      <c r="M732" t="s">
        <v>656</v>
      </c>
    </row>
    <row r="733" spans="3:13">
      <c r="C733">
        <v>2100300025</v>
      </c>
      <c r="D733">
        <v>6426000</v>
      </c>
      <c r="E733" t="s">
        <v>188</v>
      </c>
      <c r="F733">
        <v>5105010111</v>
      </c>
      <c r="G733" s="13">
        <v>8191.56</v>
      </c>
      <c r="I733" t="s">
        <v>160</v>
      </c>
      <c r="J733" t="s">
        <v>591</v>
      </c>
      <c r="K733" t="s">
        <v>492</v>
      </c>
      <c r="L733">
        <v>5500000780</v>
      </c>
      <c r="M733" t="s">
        <v>657</v>
      </c>
    </row>
    <row r="734" spans="3:13">
      <c r="C734">
        <v>2100300025</v>
      </c>
      <c r="D734">
        <v>5826000</v>
      </c>
      <c r="E734" t="s">
        <v>188</v>
      </c>
      <c r="F734">
        <v>5105010113</v>
      </c>
      <c r="G734" s="13">
        <v>10361.64</v>
      </c>
      <c r="I734" t="s">
        <v>160</v>
      </c>
      <c r="J734" t="s">
        <v>571</v>
      </c>
      <c r="K734" t="s">
        <v>166</v>
      </c>
      <c r="L734">
        <v>5500000029</v>
      </c>
      <c r="M734" t="s">
        <v>660</v>
      </c>
    </row>
    <row r="735" spans="3:13">
      <c r="C735">
        <v>2100300025</v>
      </c>
      <c r="D735">
        <v>5826000</v>
      </c>
      <c r="E735" t="s">
        <v>188</v>
      </c>
      <c r="F735">
        <v>5105010113</v>
      </c>
      <c r="G735" s="13">
        <v>5265.76</v>
      </c>
      <c r="I735" t="s">
        <v>160</v>
      </c>
      <c r="J735" t="s">
        <v>573</v>
      </c>
      <c r="K735" t="s">
        <v>166</v>
      </c>
      <c r="L735">
        <v>5500000102</v>
      </c>
      <c r="M735" t="s">
        <v>661</v>
      </c>
    </row>
    <row r="736" spans="3:13">
      <c r="C736">
        <v>2100300025</v>
      </c>
      <c r="D736">
        <v>5826000</v>
      </c>
      <c r="E736" t="s">
        <v>188</v>
      </c>
      <c r="F736">
        <v>5105010113</v>
      </c>
      <c r="G736" s="13">
        <v>5265.75</v>
      </c>
      <c r="I736" t="s">
        <v>160</v>
      </c>
      <c r="J736" t="s">
        <v>575</v>
      </c>
      <c r="K736" t="s">
        <v>166</v>
      </c>
      <c r="L736">
        <v>5500000175</v>
      </c>
      <c r="M736" t="s">
        <v>662</v>
      </c>
    </row>
    <row r="737" spans="3:13">
      <c r="C737">
        <v>2100300025</v>
      </c>
      <c r="D737">
        <v>5826000</v>
      </c>
      <c r="E737" t="s">
        <v>188</v>
      </c>
      <c r="F737">
        <v>5105010113</v>
      </c>
      <c r="G737" s="13">
        <v>4756.17</v>
      </c>
      <c r="I737" t="s">
        <v>160</v>
      </c>
      <c r="J737" t="s">
        <v>577</v>
      </c>
      <c r="K737" t="s">
        <v>166</v>
      </c>
      <c r="L737">
        <v>5500000250</v>
      </c>
      <c r="M737" t="s">
        <v>663</v>
      </c>
    </row>
    <row r="738" spans="3:13">
      <c r="C738">
        <v>2100300025</v>
      </c>
      <c r="D738">
        <v>5826000</v>
      </c>
      <c r="E738" t="s">
        <v>188</v>
      </c>
      <c r="F738">
        <v>5105010113</v>
      </c>
      <c r="G738" s="13">
        <v>5265.75</v>
      </c>
      <c r="I738" t="s">
        <v>160</v>
      </c>
      <c r="J738" t="s">
        <v>579</v>
      </c>
      <c r="K738" t="s">
        <v>166</v>
      </c>
      <c r="L738">
        <v>5500000325</v>
      </c>
      <c r="M738" t="s">
        <v>664</v>
      </c>
    </row>
    <row r="739" spans="3:13">
      <c r="C739">
        <v>2100300025</v>
      </c>
      <c r="D739">
        <v>5826000</v>
      </c>
      <c r="E739" t="s">
        <v>188</v>
      </c>
      <c r="F739">
        <v>5105010113</v>
      </c>
      <c r="G739" s="13">
        <v>5095.8900000000003</v>
      </c>
      <c r="I739" t="s">
        <v>160</v>
      </c>
      <c r="J739" t="s">
        <v>581</v>
      </c>
      <c r="K739" t="s">
        <v>166</v>
      </c>
      <c r="L739">
        <v>5500000400</v>
      </c>
      <c r="M739" t="s">
        <v>665</v>
      </c>
    </row>
    <row r="740" spans="3:13">
      <c r="C740">
        <v>2100300025</v>
      </c>
      <c r="D740">
        <v>5826000</v>
      </c>
      <c r="E740" t="s">
        <v>188</v>
      </c>
      <c r="F740">
        <v>5105010113</v>
      </c>
      <c r="G740" s="13">
        <v>5265.75</v>
      </c>
      <c r="I740" t="s">
        <v>160</v>
      </c>
      <c r="J740" t="s">
        <v>583</v>
      </c>
      <c r="K740" t="s">
        <v>166</v>
      </c>
      <c r="L740">
        <v>5500000476</v>
      </c>
      <c r="M740" t="s">
        <v>666</v>
      </c>
    </row>
    <row r="741" spans="3:13">
      <c r="C741">
        <v>2100300025</v>
      </c>
      <c r="D741">
        <v>5826000</v>
      </c>
      <c r="E741" t="s">
        <v>188</v>
      </c>
      <c r="F741">
        <v>5105010113</v>
      </c>
      <c r="G741" s="13">
        <v>5095.8900000000003</v>
      </c>
      <c r="I741" t="s">
        <v>160</v>
      </c>
      <c r="J741" t="s">
        <v>585</v>
      </c>
      <c r="K741" t="s">
        <v>166</v>
      </c>
      <c r="L741">
        <v>5500000553</v>
      </c>
      <c r="M741" t="s">
        <v>667</v>
      </c>
    </row>
    <row r="742" spans="3:13">
      <c r="C742">
        <v>2100300025</v>
      </c>
      <c r="D742">
        <v>5826000</v>
      </c>
      <c r="E742" t="s">
        <v>188</v>
      </c>
      <c r="F742">
        <v>5105010113</v>
      </c>
      <c r="G742" s="13">
        <v>5265.76</v>
      </c>
      <c r="I742" t="s">
        <v>160</v>
      </c>
      <c r="J742" t="s">
        <v>587</v>
      </c>
      <c r="K742" t="s">
        <v>166</v>
      </c>
      <c r="L742">
        <v>5500000631</v>
      </c>
      <c r="M742" t="s">
        <v>668</v>
      </c>
    </row>
    <row r="743" spans="3:13">
      <c r="C743">
        <v>2100300025</v>
      </c>
      <c r="D743">
        <v>5826000</v>
      </c>
      <c r="E743" t="s">
        <v>188</v>
      </c>
      <c r="F743">
        <v>5105010113</v>
      </c>
      <c r="G743" s="13">
        <v>5265.75</v>
      </c>
      <c r="I743" t="s">
        <v>160</v>
      </c>
      <c r="J743" t="s">
        <v>589</v>
      </c>
      <c r="K743" t="s">
        <v>166</v>
      </c>
      <c r="L743">
        <v>5500000708</v>
      </c>
      <c r="M743" t="s">
        <v>669</v>
      </c>
    </row>
    <row r="744" spans="3:13">
      <c r="C744">
        <v>2100300025</v>
      </c>
      <c r="D744">
        <v>5826000</v>
      </c>
      <c r="E744" t="s">
        <v>188</v>
      </c>
      <c r="F744">
        <v>5105010113</v>
      </c>
      <c r="G744" s="13">
        <v>5095.8900000000003</v>
      </c>
      <c r="I744" t="s">
        <v>160</v>
      </c>
      <c r="J744" t="s">
        <v>591</v>
      </c>
      <c r="K744" t="s">
        <v>166</v>
      </c>
      <c r="L744">
        <v>5500000785</v>
      </c>
      <c r="M744" t="s">
        <v>670</v>
      </c>
    </row>
    <row r="745" spans="3:13">
      <c r="C745">
        <v>2100300025</v>
      </c>
      <c r="D745">
        <v>5926000</v>
      </c>
      <c r="E745" t="s">
        <v>188</v>
      </c>
      <c r="F745">
        <v>5105010113</v>
      </c>
      <c r="G745" s="13">
        <v>65119.09</v>
      </c>
      <c r="I745" t="s">
        <v>160</v>
      </c>
      <c r="J745" t="s">
        <v>571</v>
      </c>
      <c r="K745" t="s">
        <v>166</v>
      </c>
      <c r="L745">
        <v>5500000029</v>
      </c>
      <c r="M745" t="s">
        <v>660</v>
      </c>
    </row>
    <row r="746" spans="3:13">
      <c r="C746">
        <v>2100300025</v>
      </c>
      <c r="D746">
        <v>5926000</v>
      </c>
      <c r="E746" t="s">
        <v>188</v>
      </c>
      <c r="F746">
        <v>5105010113</v>
      </c>
      <c r="G746" s="13">
        <v>8769.25</v>
      </c>
      <c r="I746" t="s">
        <v>160</v>
      </c>
      <c r="J746" t="s">
        <v>573</v>
      </c>
      <c r="K746" t="s">
        <v>166</v>
      </c>
      <c r="L746">
        <v>5500000102</v>
      </c>
      <c r="M746" t="s">
        <v>661</v>
      </c>
    </row>
    <row r="747" spans="3:13">
      <c r="C747">
        <v>2100300025</v>
      </c>
      <c r="D747">
        <v>5926000</v>
      </c>
      <c r="E747" t="s">
        <v>188</v>
      </c>
      <c r="F747">
        <v>5105010113</v>
      </c>
      <c r="G747" s="13">
        <v>8769.2099999999991</v>
      </c>
      <c r="I747" t="s">
        <v>160</v>
      </c>
      <c r="J747" t="s">
        <v>575</v>
      </c>
      <c r="K747" t="s">
        <v>166</v>
      </c>
      <c r="L747">
        <v>5500000175</v>
      </c>
      <c r="M747" t="s">
        <v>662</v>
      </c>
    </row>
    <row r="748" spans="3:13">
      <c r="C748">
        <v>2100300025</v>
      </c>
      <c r="D748">
        <v>5926000</v>
      </c>
      <c r="E748" t="s">
        <v>188</v>
      </c>
      <c r="F748">
        <v>5105010113</v>
      </c>
      <c r="G748" s="13">
        <v>7920.64</v>
      </c>
      <c r="I748" t="s">
        <v>160</v>
      </c>
      <c r="J748" t="s">
        <v>577</v>
      </c>
      <c r="K748" t="s">
        <v>166</v>
      </c>
      <c r="L748">
        <v>5500000250</v>
      </c>
      <c r="M748" t="s">
        <v>663</v>
      </c>
    </row>
    <row r="749" spans="3:13">
      <c r="C749">
        <v>2100300025</v>
      </c>
      <c r="D749">
        <v>5926000</v>
      </c>
      <c r="E749" t="s">
        <v>188</v>
      </c>
      <c r="F749">
        <v>5105010113</v>
      </c>
      <c r="G749" s="13">
        <v>2140.0700000000002</v>
      </c>
      <c r="I749" t="s">
        <v>160</v>
      </c>
      <c r="J749" t="s">
        <v>579</v>
      </c>
      <c r="K749" t="s">
        <v>166</v>
      </c>
      <c r="L749">
        <v>5500000325</v>
      </c>
      <c r="M749" t="s">
        <v>664</v>
      </c>
    </row>
    <row r="750" spans="3:13">
      <c r="C750">
        <v>2100300025</v>
      </c>
      <c r="D750">
        <v>5926000</v>
      </c>
      <c r="E750" t="s">
        <v>188</v>
      </c>
      <c r="F750">
        <v>5105010113</v>
      </c>
      <c r="G750">
        <v>405.74</v>
      </c>
      <c r="I750" t="s">
        <v>160</v>
      </c>
      <c r="J750" t="s">
        <v>581</v>
      </c>
      <c r="K750" t="s">
        <v>166</v>
      </c>
      <c r="L750">
        <v>5500000400</v>
      </c>
      <c r="M750" t="s">
        <v>665</v>
      </c>
    </row>
    <row r="751" spans="3:13">
      <c r="C751">
        <v>2100300025</v>
      </c>
      <c r="D751">
        <v>5926000</v>
      </c>
      <c r="E751" t="s">
        <v>188</v>
      </c>
      <c r="F751">
        <v>5105010113</v>
      </c>
      <c r="G751">
        <v>419.26</v>
      </c>
      <c r="I751" t="s">
        <v>160</v>
      </c>
      <c r="J751" t="s">
        <v>583</v>
      </c>
      <c r="K751" t="s">
        <v>166</v>
      </c>
      <c r="L751">
        <v>5500000476</v>
      </c>
      <c r="M751" t="s">
        <v>666</v>
      </c>
    </row>
    <row r="752" spans="3:13">
      <c r="C752">
        <v>2100300025</v>
      </c>
      <c r="D752">
        <v>5926000</v>
      </c>
      <c r="E752" t="s">
        <v>188</v>
      </c>
      <c r="F752">
        <v>5105010113</v>
      </c>
      <c r="G752">
        <v>405.71</v>
      </c>
      <c r="I752" t="s">
        <v>160</v>
      </c>
      <c r="J752" t="s">
        <v>585</v>
      </c>
      <c r="K752" t="s">
        <v>166</v>
      </c>
      <c r="L752">
        <v>5500000553</v>
      </c>
      <c r="M752" t="s">
        <v>667</v>
      </c>
    </row>
    <row r="753" spans="3:13">
      <c r="C753">
        <v>2100300025</v>
      </c>
      <c r="D753">
        <v>5926000</v>
      </c>
      <c r="E753" t="s">
        <v>188</v>
      </c>
      <c r="F753">
        <v>5105010113</v>
      </c>
      <c r="G753">
        <v>419.25</v>
      </c>
      <c r="I753" t="s">
        <v>160</v>
      </c>
      <c r="J753" t="s">
        <v>587</v>
      </c>
      <c r="K753" t="s">
        <v>166</v>
      </c>
      <c r="L753">
        <v>5500000631</v>
      </c>
      <c r="M753" t="s">
        <v>668</v>
      </c>
    </row>
    <row r="754" spans="3:13">
      <c r="C754">
        <v>2100300025</v>
      </c>
      <c r="D754">
        <v>5926000</v>
      </c>
      <c r="E754" t="s">
        <v>188</v>
      </c>
      <c r="F754">
        <v>5105010113</v>
      </c>
      <c r="G754">
        <v>338.8</v>
      </c>
      <c r="I754" t="s">
        <v>160</v>
      </c>
      <c r="J754" t="s">
        <v>589</v>
      </c>
      <c r="K754" t="s">
        <v>166</v>
      </c>
      <c r="L754">
        <v>5500000708</v>
      </c>
      <c r="M754" t="s">
        <v>669</v>
      </c>
    </row>
    <row r="755" spans="3:13">
      <c r="C755">
        <v>2100300025</v>
      </c>
      <c r="D755">
        <v>5926000</v>
      </c>
      <c r="E755" t="s">
        <v>188</v>
      </c>
      <c r="F755">
        <v>5105010113</v>
      </c>
      <c r="G755">
        <v>323.54000000000002</v>
      </c>
      <c r="I755" t="s">
        <v>160</v>
      </c>
      <c r="J755" t="s">
        <v>591</v>
      </c>
      <c r="K755" t="s">
        <v>166</v>
      </c>
      <c r="L755">
        <v>5500000785</v>
      </c>
      <c r="M755" t="s">
        <v>670</v>
      </c>
    </row>
    <row r="756" spans="3:13">
      <c r="C756">
        <v>2100300025</v>
      </c>
      <c r="D756">
        <v>6026000</v>
      </c>
      <c r="E756" t="s">
        <v>188</v>
      </c>
      <c r="F756">
        <v>5105010113</v>
      </c>
      <c r="G756" s="13">
        <v>29573.29</v>
      </c>
      <c r="I756" t="s">
        <v>160</v>
      </c>
      <c r="J756" t="s">
        <v>571</v>
      </c>
      <c r="K756" t="s">
        <v>166</v>
      </c>
      <c r="L756">
        <v>5500000029</v>
      </c>
      <c r="M756" t="s">
        <v>660</v>
      </c>
    </row>
    <row r="757" spans="3:13">
      <c r="C757">
        <v>2100300025</v>
      </c>
      <c r="D757">
        <v>6026000</v>
      </c>
      <c r="E757" t="s">
        <v>188</v>
      </c>
      <c r="F757">
        <v>5105010113</v>
      </c>
      <c r="G757" s="13">
        <v>15029.07</v>
      </c>
      <c r="I757" t="s">
        <v>160</v>
      </c>
      <c r="J757" t="s">
        <v>573</v>
      </c>
      <c r="K757" t="s">
        <v>166</v>
      </c>
      <c r="L757">
        <v>5500000102</v>
      </c>
      <c r="M757" t="s">
        <v>661</v>
      </c>
    </row>
    <row r="758" spans="3:13">
      <c r="C758">
        <v>2100300025</v>
      </c>
      <c r="D758">
        <v>6026000</v>
      </c>
      <c r="E758" t="s">
        <v>188</v>
      </c>
      <c r="F758">
        <v>5105010113</v>
      </c>
      <c r="G758" s="13">
        <v>15029.04</v>
      </c>
      <c r="I758" t="s">
        <v>160</v>
      </c>
      <c r="J758" t="s">
        <v>575</v>
      </c>
      <c r="K758" t="s">
        <v>166</v>
      </c>
      <c r="L758">
        <v>5500000175</v>
      </c>
      <c r="M758" t="s">
        <v>662</v>
      </c>
    </row>
    <row r="759" spans="3:13">
      <c r="C759">
        <v>2100300025</v>
      </c>
      <c r="D759">
        <v>6026000</v>
      </c>
      <c r="E759" t="s">
        <v>188</v>
      </c>
      <c r="F759">
        <v>5105010113</v>
      </c>
      <c r="G759" s="13">
        <v>13574.67</v>
      </c>
      <c r="I759" t="s">
        <v>160</v>
      </c>
      <c r="J759" t="s">
        <v>577</v>
      </c>
      <c r="K759" t="s">
        <v>166</v>
      </c>
      <c r="L759">
        <v>5500000250</v>
      </c>
      <c r="M759" t="s">
        <v>663</v>
      </c>
    </row>
    <row r="760" spans="3:13">
      <c r="C760">
        <v>2100300025</v>
      </c>
      <c r="D760">
        <v>6026000</v>
      </c>
      <c r="E760" t="s">
        <v>188</v>
      </c>
      <c r="F760">
        <v>5105010113</v>
      </c>
      <c r="G760" s="13">
        <v>15029.03</v>
      </c>
      <c r="I760" t="s">
        <v>160</v>
      </c>
      <c r="J760" t="s">
        <v>579</v>
      </c>
      <c r="K760" t="s">
        <v>166</v>
      </c>
      <c r="L760">
        <v>5500000325</v>
      </c>
      <c r="M760" t="s">
        <v>664</v>
      </c>
    </row>
    <row r="761" spans="3:13">
      <c r="C761">
        <v>2100300025</v>
      </c>
      <c r="D761">
        <v>6026000</v>
      </c>
      <c r="E761" t="s">
        <v>188</v>
      </c>
      <c r="F761">
        <v>5105010113</v>
      </c>
      <c r="G761" s="13">
        <v>14544.23</v>
      </c>
      <c r="I761" t="s">
        <v>160</v>
      </c>
      <c r="J761" t="s">
        <v>581</v>
      </c>
      <c r="K761" t="s">
        <v>166</v>
      </c>
      <c r="L761">
        <v>5500000400</v>
      </c>
      <c r="M761" t="s">
        <v>665</v>
      </c>
    </row>
    <row r="762" spans="3:13">
      <c r="C762">
        <v>2100300025</v>
      </c>
      <c r="D762">
        <v>6026000</v>
      </c>
      <c r="E762" t="s">
        <v>188</v>
      </c>
      <c r="F762">
        <v>5105010113</v>
      </c>
      <c r="G762" s="13">
        <v>15029.06</v>
      </c>
      <c r="I762" t="s">
        <v>160</v>
      </c>
      <c r="J762" t="s">
        <v>583</v>
      </c>
      <c r="K762" t="s">
        <v>166</v>
      </c>
      <c r="L762">
        <v>5500000476</v>
      </c>
      <c r="M762" t="s">
        <v>666</v>
      </c>
    </row>
    <row r="763" spans="3:13">
      <c r="C763">
        <v>2100300025</v>
      </c>
      <c r="D763">
        <v>6026000</v>
      </c>
      <c r="E763" t="s">
        <v>188</v>
      </c>
      <c r="F763">
        <v>5105010113</v>
      </c>
      <c r="G763" s="13">
        <v>14544.25</v>
      </c>
      <c r="I763" t="s">
        <v>160</v>
      </c>
      <c r="J763" t="s">
        <v>585</v>
      </c>
      <c r="K763" t="s">
        <v>166</v>
      </c>
      <c r="L763">
        <v>5500000553</v>
      </c>
      <c r="M763" t="s">
        <v>667</v>
      </c>
    </row>
    <row r="764" spans="3:13">
      <c r="C764">
        <v>2100300025</v>
      </c>
      <c r="D764">
        <v>6026000</v>
      </c>
      <c r="E764" t="s">
        <v>188</v>
      </c>
      <c r="F764">
        <v>5105010113</v>
      </c>
      <c r="G764" s="13">
        <v>15029.07</v>
      </c>
      <c r="I764" t="s">
        <v>160</v>
      </c>
      <c r="J764" t="s">
        <v>587</v>
      </c>
      <c r="K764" t="s">
        <v>166</v>
      </c>
      <c r="L764">
        <v>5500000631</v>
      </c>
      <c r="M764" t="s">
        <v>668</v>
      </c>
    </row>
    <row r="765" spans="3:13">
      <c r="C765">
        <v>2100300025</v>
      </c>
      <c r="D765">
        <v>6026000</v>
      </c>
      <c r="E765" t="s">
        <v>188</v>
      </c>
      <c r="F765">
        <v>5105010113</v>
      </c>
      <c r="G765" s="13">
        <v>15029.07</v>
      </c>
      <c r="I765" t="s">
        <v>160</v>
      </c>
      <c r="J765" t="s">
        <v>589</v>
      </c>
      <c r="K765" t="s">
        <v>166</v>
      </c>
      <c r="L765">
        <v>5500000708</v>
      </c>
      <c r="M765" t="s">
        <v>669</v>
      </c>
    </row>
    <row r="766" spans="3:13">
      <c r="C766">
        <v>2100300025</v>
      </c>
      <c r="D766">
        <v>6026000</v>
      </c>
      <c r="E766" t="s">
        <v>188</v>
      </c>
      <c r="F766">
        <v>5105010113</v>
      </c>
      <c r="G766" s="13">
        <v>14544.22</v>
      </c>
      <c r="I766" t="s">
        <v>160</v>
      </c>
      <c r="J766" t="s">
        <v>591</v>
      </c>
      <c r="K766" t="s">
        <v>166</v>
      </c>
      <c r="L766">
        <v>5500000785</v>
      </c>
      <c r="M766" t="s">
        <v>670</v>
      </c>
    </row>
    <row r="767" spans="3:13">
      <c r="C767">
        <v>2100300025</v>
      </c>
      <c r="D767">
        <v>6126000</v>
      </c>
      <c r="E767" t="s">
        <v>188</v>
      </c>
      <c r="F767">
        <v>5105010113</v>
      </c>
      <c r="G767" s="13">
        <v>2670.29</v>
      </c>
      <c r="I767" t="s">
        <v>160</v>
      </c>
      <c r="J767" t="s">
        <v>571</v>
      </c>
      <c r="K767" t="s">
        <v>166</v>
      </c>
      <c r="L767">
        <v>5500000029</v>
      </c>
      <c r="M767" t="s">
        <v>660</v>
      </c>
    </row>
    <row r="768" spans="3:13">
      <c r="C768">
        <v>2100300025</v>
      </c>
      <c r="D768">
        <v>6126000</v>
      </c>
      <c r="E768" t="s">
        <v>188</v>
      </c>
      <c r="F768">
        <v>5105010113</v>
      </c>
      <c r="G768" s="13">
        <v>1357.05</v>
      </c>
      <c r="I768" t="s">
        <v>160</v>
      </c>
      <c r="J768" t="s">
        <v>573</v>
      </c>
      <c r="K768" t="s">
        <v>166</v>
      </c>
      <c r="L768">
        <v>5500000102</v>
      </c>
      <c r="M768" t="s">
        <v>661</v>
      </c>
    </row>
    <row r="769" spans="3:13">
      <c r="C769">
        <v>2100300025</v>
      </c>
      <c r="D769">
        <v>6126000</v>
      </c>
      <c r="E769" t="s">
        <v>188</v>
      </c>
      <c r="F769">
        <v>5105010113</v>
      </c>
      <c r="G769" s="13">
        <v>1357.03</v>
      </c>
      <c r="I769" t="s">
        <v>160</v>
      </c>
      <c r="J769" t="s">
        <v>575</v>
      </c>
      <c r="K769" t="s">
        <v>166</v>
      </c>
      <c r="L769">
        <v>5500000175</v>
      </c>
      <c r="M769" t="s">
        <v>662</v>
      </c>
    </row>
    <row r="770" spans="3:13">
      <c r="C770">
        <v>2100300025</v>
      </c>
      <c r="D770">
        <v>6126000</v>
      </c>
      <c r="E770" t="s">
        <v>188</v>
      </c>
      <c r="F770">
        <v>5105010113</v>
      </c>
      <c r="G770" s="13">
        <v>1225.71</v>
      </c>
      <c r="I770" t="s">
        <v>160</v>
      </c>
      <c r="J770" t="s">
        <v>577</v>
      </c>
      <c r="K770" t="s">
        <v>166</v>
      </c>
      <c r="L770">
        <v>5500000250</v>
      </c>
      <c r="M770" t="s">
        <v>663</v>
      </c>
    </row>
    <row r="771" spans="3:13">
      <c r="C771">
        <v>2100300025</v>
      </c>
      <c r="D771">
        <v>6126000</v>
      </c>
      <c r="E771" t="s">
        <v>188</v>
      </c>
      <c r="F771">
        <v>5105010113</v>
      </c>
      <c r="G771" s="13">
        <v>1357.04</v>
      </c>
      <c r="I771" t="s">
        <v>160</v>
      </c>
      <c r="J771" t="s">
        <v>579</v>
      </c>
      <c r="K771" t="s">
        <v>166</v>
      </c>
      <c r="L771">
        <v>5500000325</v>
      </c>
      <c r="M771" t="s">
        <v>664</v>
      </c>
    </row>
    <row r="772" spans="3:13">
      <c r="C772">
        <v>2100300025</v>
      </c>
      <c r="D772">
        <v>6126000</v>
      </c>
      <c r="E772" t="s">
        <v>188</v>
      </c>
      <c r="F772">
        <v>5105010113</v>
      </c>
      <c r="G772" s="13">
        <v>1313.25</v>
      </c>
      <c r="I772" t="s">
        <v>160</v>
      </c>
      <c r="J772" t="s">
        <v>581</v>
      </c>
      <c r="K772" t="s">
        <v>166</v>
      </c>
      <c r="L772">
        <v>5500000400</v>
      </c>
      <c r="M772" t="s">
        <v>665</v>
      </c>
    </row>
    <row r="773" spans="3:13">
      <c r="C773">
        <v>2100300025</v>
      </c>
      <c r="D773">
        <v>6126000</v>
      </c>
      <c r="E773" t="s">
        <v>188</v>
      </c>
      <c r="F773">
        <v>5105010113</v>
      </c>
      <c r="G773" s="13">
        <v>1357.04</v>
      </c>
      <c r="I773" t="s">
        <v>160</v>
      </c>
      <c r="J773" t="s">
        <v>583</v>
      </c>
      <c r="K773" t="s">
        <v>166</v>
      </c>
      <c r="L773">
        <v>5500000476</v>
      </c>
      <c r="M773" t="s">
        <v>666</v>
      </c>
    </row>
    <row r="774" spans="3:13">
      <c r="C774">
        <v>2100300025</v>
      </c>
      <c r="D774">
        <v>6126000</v>
      </c>
      <c r="E774" t="s">
        <v>188</v>
      </c>
      <c r="F774">
        <v>5105010113</v>
      </c>
      <c r="G774" s="13">
        <v>1313.25</v>
      </c>
      <c r="I774" t="s">
        <v>160</v>
      </c>
      <c r="J774" t="s">
        <v>585</v>
      </c>
      <c r="K774" t="s">
        <v>166</v>
      </c>
      <c r="L774">
        <v>5500000553</v>
      </c>
      <c r="M774" t="s">
        <v>667</v>
      </c>
    </row>
    <row r="775" spans="3:13">
      <c r="C775">
        <v>2100300025</v>
      </c>
      <c r="D775">
        <v>6126000</v>
      </c>
      <c r="E775" t="s">
        <v>188</v>
      </c>
      <c r="F775">
        <v>5105010113</v>
      </c>
      <c r="G775" s="13">
        <v>1357.05</v>
      </c>
      <c r="I775" t="s">
        <v>160</v>
      </c>
      <c r="J775" t="s">
        <v>587</v>
      </c>
      <c r="K775" t="s">
        <v>166</v>
      </c>
      <c r="L775">
        <v>5500000631</v>
      </c>
      <c r="M775" t="s">
        <v>668</v>
      </c>
    </row>
    <row r="776" spans="3:13">
      <c r="C776">
        <v>2100300025</v>
      </c>
      <c r="D776">
        <v>6126000</v>
      </c>
      <c r="E776" t="s">
        <v>188</v>
      </c>
      <c r="F776">
        <v>5105010113</v>
      </c>
      <c r="G776" s="13">
        <v>1357.03</v>
      </c>
      <c r="I776" t="s">
        <v>160</v>
      </c>
      <c r="J776" t="s">
        <v>589</v>
      </c>
      <c r="K776" t="s">
        <v>166</v>
      </c>
      <c r="L776">
        <v>5500000708</v>
      </c>
      <c r="M776" t="s">
        <v>669</v>
      </c>
    </row>
    <row r="777" spans="3:13">
      <c r="C777">
        <v>2100300025</v>
      </c>
      <c r="D777">
        <v>6126000</v>
      </c>
      <c r="E777" t="s">
        <v>188</v>
      </c>
      <c r="F777">
        <v>5105010113</v>
      </c>
      <c r="G777" s="13">
        <v>1313.26</v>
      </c>
      <c r="I777" t="s">
        <v>160</v>
      </c>
      <c r="J777" t="s">
        <v>591</v>
      </c>
      <c r="K777" t="s">
        <v>166</v>
      </c>
      <c r="L777">
        <v>5500000785</v>
      </c>
      <c r="M777" t="s">
        <v>670</v>
      </c>
    </row>
    <row r="778" spans="3:13">
      <c r="C778">
        <v>2100300025</v>
      </c>
      <c r="D778">
        <v>6226000</v>
      </c>
      <c r="E778" t="s">
        <v>188</v>
      </c>
      <c r="F778">
        <v>5105010113</v>
      </c>
      <c r="G778">
        <v>650.91</v>
      </c>
      <c r="I778" t="s">
        <v>160</v>
      </c>
      <c r="J778" t="s">
        <v>571</v>
      </c>
      <c r="K778" t="s">
        <v>166</v>
      </c>
      <c r="L778">
        <v>5500000029</v>
      </c>
      <c r="M778" t="s">
        <v>660</v>
      </c>
    </row>
    <row r="779" spans="3:13">
      <c r="C779">
        <v>2100300025</v>
      </c>
      <c r="D779">
        <v>6226000</v>
      </c>
      <c r="E779" t="s">
        <v>188</v>
      </c>
      <c r="F779">
        <v>5105010113</v>
      </c>
      <c r="G779">
        <v>330.83</v>
      </c>
      <c r="I779" t="s">
        <v>160</v>
      </c>
      <c r="J779" t="s">
        <v>573</v>
      </c>
      <c r="K779" t="s">
        <v>166</v>
      </c>
      <c r="L779">
        <v>5500000102</v>
      </c>
      <c r="M779" t="s">
        <v>661</v>
      </c>
    </row>
    <row r="780" spans="3:13">
      <c r="C780">
        <v>2100300025</v>
      </c>
      <c r="D780">
        <v>6226000</v>
      </c>
      <c r="E780" t="s">
        <v>188</v>
      </c>
      <c r="F780">
        <v>5105010113</v>
      </c>
      <c r="G780">
        <v>330.74</v>
      </c>
      <c r="I780" t="s">
        <v>160</v>
      </c>
      <c r="J780" t="s">
        <v>575</v>
      </c>
      <c r="K780" t="s">
        <v>166</v>
      </c>
      <c r="L780">
        <v>5500000175</v>
      </c>
      <c r="M780" t="s">
        <v>662</v>
      </c>
    </row>
    <row r="781" spans="3:13">
      <c r="C781">
        <v>2100300025</v>
      </c>
      <c r="D781">
        <v>6226000</v>
      </c>
      <c r="E781" t="s">
        <v>188</v>
      </c>
      <c r="F781">
        <v>5105010113</v>
      </c>
      <c r="G781">
        <v>298.76</v>
      </c>
      <c r="I781" t="s">
        <v>160</v>
      </c>
      <c r="J781" t="s">
        <v>577</v>
      </c>
      <c r="K781" t="s">
        <v>166</v>
      </c>
      <c r="L781">
        <v>5500000250</v>
      </c>
      <c r="M781" t="s">
        <v>663</v>
      </c>
    </row>
    <row r="782" spans="3:13">
      <c r="C782">
        <v>2100300025</v>
      </c>
      <c r="D782">
        <v>6226000</v>
      </c>
      <c r="E782" t="s">
        <v>188</v>
      </c>
      <c r="F782">
        <v>5105010113</v>
      </c>
      <c r="G782">
        <v>330.83</v>
      </c>
      <c r="I782" t="s">
        <v>160</v>
      </c>
      <c r="J782" t="s">
        <v>579</v>
      </c>
      <c r="K782" t="s">
        <v>166</v>
      </c>
      <c r="L782">
        <v>5500000325</v>
      </c>
      <c r="M782" t="s">
        <v>664</v>
      </c>
    </row>
    <row r="783" spans="3:13">
      <c r="C783">
        <v>2100300025</v>
      </c>
      <c r="D783">
        <v>6226000</v>
      </c>
      <c r="E783" t="s">
        <v>188</v>
      </c>
      <c r="F783">
        <v>5105010113</v>
      </c>
      <c r="G783">
        <v>320.08</v>
      </c>
      <c r="I783" t="s">
        <v>160</v>
      </c>
      <c r="J783" t="s">
        <v>581</v>
      </c>
      <c r="K783" t="s">
        <v>166</v>
      </c>
      <c r="L783">
        <v>5500000400</v>
      </c>
      <c r="M783" t="s">
        <v>665</v>
      </c>
    </row>
    <row r="784" spans="3:13">
      <c r="C784">
        <v>2100300025</v>
      </c>
      <c r="D784">
        <v>6226000</v>
      </c>
      <c r="E784" t="s">
        <v>188</v>
      </c>
      <c r="F784">
        <v>5105010113</v>
      </c>
      <c r="G784">
        <v>330.83</v>
      </c>
      <c r="I784" t="s">
        <v>160</v>
      </c>
      <c r="J784" t="s">
        <v>583</v>
      </c>
      <c r="K784" t="s">
        <v>166</v>
      </c>
      <c r="L784">
        <v>5500000476</v>
      </c>
      <c r="M784" t="s">
        <v>666</v>
      </c>
    </row>
    <row r="785" spans="3:13">
      <c r="C785">
        <v>2100300025</v>
      </c>
      <c r="D785">
        <v>6226000</v>
      </c>
      <c r="E785" t="s">
        <v>188</v>
      </c>
      <c r="F785">
        <v>5105010113</v>
      </c>
      <c r="G785">
        <v>320.08</v>
      </c>
      <c r="I785" t="s">
        <v>160</v>
      </c>
      <c r="J785" t="s">
        <v>585</v>
      </c>
      <c r="K785" t="s">
        <v>166</v>
      </c>
      <c r="L785">
        <v>5500000554</v>
      </c>
      <c r="M785" t="s">
        <v>671</v>
      </c>
    </row>
    <row r="786" spans="3:13">
      <c r="C786">
        <v>2100300025</v>
      </c>
      <c r="D786">
        <v>6226000</v>
      </c>
      <c r="E786" t="s">
        <v>188</v>
      </c>
      <c r="F786">
        <v>5105010113</v>
      </c>
      <c r="G786">
        <v>330.83</v>
      </c>
      <c r="I786" t="s">
        <v>160</v>
      </c>
      <c r="J786" t="s">
        <v>587</v>
      </c>
      <c r="K786" t="s">
        <v>166</v>
      </c>
      <c r="L786">
        <v>5500000631</v>
      </c>
      <c r="M786" t="s">
        <v>668</v>
      </c>
    </row>
    <row r="787" spans="3:13">
      <c r="C787">
        <v>2100300025</v>
      </c>
      <c r="D787">
        <v>6226000</v>
      </c>
      <c r="E787" t="s">
        <v>188</v>
      </c>
      <c r="F787">
        <v>5105010113</v>
      </c>
      <c r="G787">
        <v>330.83</v>
      </c>
      <c r="I787" t="s">
        <v>160</v>
      </c>
      <c r="J787" t="s">
        <v>589</v>
      </c>
      <c r="K787" t="s">
        <v>166</v>
      </c>
      <c r="L787">
        <v>5500000708</v>
      </c>
      <c r="M787" t="s">
        <v>669</v>
      </c>
    </row>
    <row r="788" spans="3:13">
      <c r="C788">
        <v>2100300025</v>
      </c>
      <c r="D788">
        <v>6226000</v>
      </c>
      <c r="E788" t="s">
        <v>188</v>
      </c>
      <c r="F788">
        <v>5105010113</v>
      </c>
      <c r="G788">
        <v>320.08</v>
      </c>
      <c r="I788" t="s">
        <v>160</v>
      </c>
      <c r="J788" t="s">
        <v>591</v>
      </c>
      <c r="K788" t="s">
        <v>166</v>
      </c>
      <c r="L788">
        <v>5500000785</v>
      </c>
      <c r="M788" t="s">
        <v>670</v>
      </c>
    </row>
    <row r="789" spans="3:13">
      <c r="C789">
        <v>2100300025</v>
      </c>
      <c r="D789">
        <v>6326000</v>
      </c>
      <c r="E789" t="s">
        <v>188</v>
      </c>
      <c r="F789">
        <v>5105010113</v>
      </c>
      <c r="G789" s="13">
        <v>162300.95000000001</v>
      </c>
      <c r="I789" t="s">
        <v>160</v>
      </c>
      <c r="J789" t="s">
        <v>571</v>
      </c>
      <c r="K789" t="s">
        <v>166</v>
      </c>
      <c r="L789">
        <v>5500000029</v>
      </c>
      <c r="M789" t="s">
        <v>660</v>
      </c>
    </row>
    <row r="790" spans="3:13">
      <c r="C790">
        <v>2100300025</v>
      </c>
      <c r="D790">
        <v>6326000</v>
      </c>
      <c r="E790" t="s">
        <v>188</v>
      </c>
      <c r="F790">
        <v>5105010113</v>
      </c>
      <c r="G790" s="13">
        <v>82480.83</v>
      </c>
      <c r="I790" t="s">
        <v>160</v>
      </c>
      <c r="J790" t="s">
        <v>573</v>
      </c>
      <c r="K790" t="s">
        <v>166</v>
      </c>
      <c r="L790">
        <v>5500000102</v>
      </c>
      <c r="M790" t="s">
        <v>661</v>
      </c>
    </row>
    <row r="791" spans="3:13">
      <c r="C791">
        <v>2100300025</v>
      </c>
      <c r="D791">
        <v>6326000</v>
      </c>
      <c r="E791" t="s">
        <v>188</v>
      </c>
      <c r="F791">
        <v>5105010113</v>
      </c>
      <c r="G791" s="13">
        <v>82480.800000000003</v>
      </c>
      <c r="I791" t="s">
        <v>160</v>
      </c>
      <c r="J791" t="s">
        <v>575</v>
      </c>
      <c r="K791" t="s">
        <v>166</v>
      </c>
      <c r="L791">
        <v>5500000175</v>
      </c>
      <c r="M791" t="s">
        <v>662</v>
      </c>
    </row>
    <row r="792" spans="3:13">
      <c r="C792">
        <v>2100300025</v>
      </c>
      <c r="D792">
        <v>6326000</v>
      </c>
      <c r="E792" t="s">
        <v>188</v>
      </c>
      <c r="F792">
        <v>5105010113</v>
      </c>
      <c r="G792" s="13">
        <v>74498.81</v>
      </c>
      <c r="I792" t="s">
        <v>160</v>
      </c>
      <c r="J792" t="s">
        <v>577</v>
      </c>
      <c r="K792" t="s">
        <v>166</v>
      </c>
      <c r="L792">
        <v>5500000250</v>
      </c>
      <c r="M792" t="s">
        <v>663</v>
      </c>
    </row>
    <row r="793" spans="3:13">
      <c r="C793">
        <v>2100300025</v>
      </c>
      <c r="D793">
        <v>6326000</v>
      </c>
      <c r="E793" t="s">
        <v>188</v>
      </c>
      <c r="F793">
        <v>5105010113</v>
      </c>
      <c r="G793" s="13">
        <v>82480.800000000003</v>
      </c>
      <c r="I793" t="s">
        <v>160</v>
      </c>
      <c r="J793" t="s">
        <v>579</v>
      </c>
      <c r="K793" t="s">
        <v>166</v>
      </c>
      <c r="L793">
        <v>5500000325</v>
      </c>
      <c r="M793" t="s">
        <v>664</v>
      </c>
    </row>
    <row r="794" spans="3:13">
      <c r="C794">
        <v>2100300025</v>
      </c>
      <c r="D794">
        <v>6326000</v>
      </c>
      <c r="E794" t="s">
        <v>188</v>
      </c>
      <c r="F794">
        <v>5105010113</v>
      </c>
      <c r="G794" s="13">
        <v>79820.14</v>
      </c>
      <c r="I794" t="s">
        <v>160</v>
      </c>
      <c r="J794" t="s">
        <v>581</v>
      </c>
      <c r="K794" t="s">
        <v>166</v>
      </c>
      <c r="L794">
        <v>5500000400</v>
      </c>
      <c r="M794" t="s">
        <v>665</v>
      </c>
    </row>
    <row r="795" spans="3:13">
      <c r="C795">
        <v>2100300025</v>
      </c>
      <c r="D795">
        <v>6326000</v>
      </c>
      <c r="E795" t="s">
        <v>188</v>
      </c>
      <c r="F795">
        <v>5105010113</v>
      </c>
      <c r="G795" s="13">
        <v>82480.81</v>
      </c>
      <c r="I795" t="s">
        <v>160</v>
      </c>
      <c r="J795" t="s">
        <v>583</v>
      </c>
      <c r="K795" t="s">
        <v>166</v>
      </c>
      <c r="L795">
        <v>5500000477</v>
      </c>
      <c r="M795" t="s">
        <v>672</v>
      </c>
    </row>
    <row r="796" spans="3:13">
      <c r="C796">
        <v>2100300025</v>
      </c>
      <c r="D796">
        <v>6326000</v>
      </c>
      <c r="E796" t="s">
        <v>188</v>
      </c>
      <c r="F796">
        <v>5105010113</v>
      </c>
      <c r="G796" s="13">
        <v>79820.14</v>
      </c>
      <c r="I796" t="s">
        <v>160</v>
      </c>
      <c r="J796" t="s">
        <v>585</v>
      </c>
      <c r="K796" t="s">
        <v>166</v>
      </c>
      <c r="L796">
        <v>5500000554</v>
      </c>
      <c r="M796" t="s">
        <v>671</v>
      </c>
    </row>
    <row r="797" spans="3:13">
      <c r="C797">
        <v>2100300025</v>
      </c>
      <c r="D797">
        <v>6326000</v>
      </c>
      <c r="E797" t="s">
        <v>188</v>
      </c>
      <c r="F797">
        <v>5105010113</v>
      </c>
      <c r="G797" s="13">
        <v>82480.83</v>
      </c>
      <c r="I797" t="s">
        <v>160</v>
      </c>
      <c r="J797" t="s">
        <v>587</v>
      </c>
      <c r="K797" t="s">
        <v>166</v>
      </c>
      <c r="L797">
        <v>5500000631</v>
      </c>
      <c r="M797" t="s">
        <v>668</v>
      </c>
    </row>
    <row r="798" spans="3:13">
      <c r="C798">
        <v>2100300025</v>
      </c>
      <c r="D798">
        <v>6326000</v>
      </c>
      <c r="E798" t="s">
        <v>188</v>
      </c>
      <c r="F798">
        <v>5105010113</v>
      </c>
      <c r="G798" s="13">
        <v>82480.820000000007</v>
      </c>
      <c r="I798" t="s">
        <v>160</v>
      </c>
      <c r="J798" t="s">
        <v>589</v>
      </c>
      <c r="K798" t="s">
        <v>166</v>
      </c>
      <c r="L798">
        <v>5500000708</v>
      </c>
      <c r="M798" t="s">
        <v>669</v>
      </c>
    </row>
    <row r="799" spans="3:13">
      <c r="C799">
        <v>2100300025</v>
      </c>
      <c r="D799">
        <v>6326000</v>
      </c>
      <c r="E799" t="s">
        <v>188</v>
      </c>
      <c r="F799">
        <v>5105010113</v>
      </c>
      <c r="G799" s="13">
        <v>79820.13</v>
      </c>
      <c r="I799" t="s">
        <v>160</v>
      </c>
      <c r="J799" t="s">
        <v>591</v>
      </c>
      <c r="K799" t="s">
        <v>166</v>
      </c>
      <c r="L799">
        <v>5500000785</v>
      </c>
      <c r="M799" t="s">
        <v>670</v>
      </c>
    </row>
    <row r="800" spans="3:13">
      <c r="C800">
        <v>2100300025</v>
      </c>
      <c r="D800">
        <v>6426000</v>
      </c>
      <c r="E800" t="s">
        <v>188</v>
      </c>
      <c r="F800">
        <v>5105010113</v>
      </c>
      <c r="G800" s="13">
        <v>1008152.77</v>
      </c>
      <c r="I800" t="s">
        <v>160</v>
      </c>
      <c r="J800" t="s">
        <v>579</v>
      </c>
      <c r="K800" t="s">
        <v>166</v>
      </c>
      <c r="L800">
        <v>5500000325</v>
      </c>
      <c r="M800" t="s">
        <v>664</v>
      </c>
    </row>
    <row r="801" spans="3:13">
      <c r="C801">
        <v>2100300025</v>
      </c>
      <c r="D801">
        <v>6426000</v>
      </c>
      <c r="E801" t="s">
        <v>188</v>
      </c>
      <c r="F801">
        <v>5105010113</v>
      </c>
      <c r="G801" s="13">
        <v>96245.75</v>
      </c>
      <c r="I801" t="s">
        <v>160</v>
      </c>
      <c r="J801" t="s">
        <v>581</v>
      </c>
      <c r="K801" t="s">
        <v>166</v>
      </c>
      <c r="L801">
        <v>5500000400</v>
      </c>
      <c r="M801" t="s">
        <v>665</v>
      </c>
    </row>
    <row r="802" spans="3:13">
      <c r="C802">
        <v>2100300025</v>
      </c>
      <c r="D802">
        <v>6426000</v>
      </c>
      <c r="E802" t="s">
        <v>188</v>
      </c>
      <c r="F802">
        <v>5105010113</v>
      </c>
      <c r="G802" s="13">
        <v>99453.88</v>
      </c>
      <c r="I802" t="s">
        <v>160</v>
      </c>
      <c r="J802" t="s">
        <v>583</v>
      </c>
      <c r="K802" t="s">
        <v>166</v>
      </c>
      <c r="L802">
        <v>5500000477</v>
      </c>
      <c r="M802" t="s">
        <v>672</v>
      </c>
    </row>
    <row r="803" spans="3:13">
      <c r="C803">
        <v>2100300025</v>
      </c>
      <c r="D803">
        <v>6426000</v>
      </c>
      <c r="E803" t="s">
        <v>188</v>
      </c>
      <c r="F803">
        <v>5105010113</v>
      </c>
      <c r="G803" s="13">
        <v>96245.7</v>
      </c>
      <c r="I803" t="s">
        <v>160</v>
      </c>
      <c r="J803" t="s">
        <v>585</v>
      </c>
      <c r="K803" t="s">
        <v>166</v>
      </c>
      <c r="L803">
        <v>5500000554</v>
      </c>
      <c r="M803" t="s">
        <v>671</v>
      </c>
    </row>
    <row r="804" spans="3:13">
      <c r="C804">
        <v>2100300025</v>
      </c>
      <c r="D804">
        <v>6426000</v>
      </c>
      <c r="E804" t="s">
        <v>188</v>
      </c>
      <c r="F804">
        <v>5105010113</v>
      </c>
      <c r="G804" s="13">
        <v>101568.42</v>
      </c>
      <c r="I804" t="s">
        <v>160</v>
      </c>
      <c r="J804" t="s">
        <v>587</v>
      </c>
      <c r="K804" t="s">
        <v>166</v>
      </c>
      <c r="L804">
        <v>5500000631</v>
      </c>
      <c r="M804" t="s">
        <v>668</v>
      </c>
    </row>
    <row r="805" spans="3:13">
      <c r="C805">
        <v>2100300025</v>
      </c>
      <c r="D805">
        <v>6426000</v>
      </c>
      <c r="E805" t="s">
        <v>188</v>
      </c>
      <c r="F805">
        <v>5105010113</v>
      </c>
      <c r="G805" s="13">
        <v>106130.56</v>
      </c>
      <c r="I805" t="s">
        <v>160</v>
      </c>
      <c r="J805" t="s">
        <v>589</v>
      </c>
      <c r="K805" t="s">
        <v>166</v>
      </c>
      <c r="L805">
        <v>5500000708</v>
      </c>
      <c r="M805" t="s">
        <v>669</v>
      </c>
    </row>
    <row r="806" spans="3:13">
      <c r="C806">
        <v>2100300025</v>
      </c>
      <c r="D806">
        <v>6426000</v>
      </c>
      <c r="E806" t="s">
        <v>188</v>
      </c>
      <c r="F806">
        <v>5105010113</v>
      </c>
      <c r="G806" s="13">
        <v>103045.45</v>
      </c>
      <c r="I806" t="s">
        <v>160</v>
      </c>
      <c r="J806" t="s">
        <v>591</v>
      </c>
      <c r="K806" t="s">
        <v>166</v>
      </c>
      <c r="L806">
        <v>5500000785</v>
      </c>
      <c r="M806" t="s">
        <v>670</v>
      </c>
    </row>
    <row r="807" spans="3:13">
      <c r="C807">
        <v>2100300025</v>
      </c>
      <c r="D807">
        <v>5626000</v>
      </c>
      <c r="E807" t="s">
        <v>188</v>
      </c>
      <c r="F807">
        <v>5105010115</v>
      </c>
      <c r="G807">
        <v>909.2</v>
      </c>
      <c r="I807" t="s">
        <v>160</v>
      </c>
      <c r="J807" t="s">
        <v>571</v>
      </c>
      <c r="K807" t="s">
        <v>167</v>
      </c>
      <c r="L807">
        <v>5500000034</v>
      </c>
      <c r="M807" t="s">
        <v>673</v>
      </c>
    </row>
    <row r="808" spans="3:13">
      <c r="C808">
        <v>2100300025</v>
      </c>
      <c r="D808">
        <v>5626000</v>
      </c>
      <c r="E808" t="s">
        <v>188</v>
      </c>
      <c r="F808">
        <v>5105010115</v>
      </c>
      <c r="G808">
        <v>462.05</v>
      </c>
      <c r="I808" t="s">
        <v>160</v>
      </c>
      <c r="J808" t="s">
        <v>573</v>
      </c>
      <c r="K808" t="s">
        <v>167</v>
      </c>
      <c r="L808">
        <v>5500000108</v>
      </c>
      <c r="M808" t="s">
        <v>674</v>
      </c>
    </row>
    <row r="809" spans="3:13">
      <c r="C809">
        <v>2100300025</v>
      </c>
      <c r="D809">
        <v>5626000</v>
      </c>
      <c r="E809" t="s">
        <v>188</v>
      </c>
      <c r="F809">
        <v>5105010115</v>
      </c>
      <c r="G809">
        <v>462.06</v>
      </c>
      <c r="I809" t="s">
        <v>160</v>
      </c>
      <c r="J809" t="s">
        <v>575</v>
      </c>
      <c r="K809" t="s">
        <v>167</v>
      </c>
      <c r="L809">
        <v>5500000181</v>
      </c>
      <c r="M809" t="s">
        <v>675</v>
      </c>
    </row>
    <row r="810" spans="3:13">
      <c r="C810">
        <v>2100300025</v>
      </c>
      <c r="D810">
        <v>5626000</v>
      </c>
      <c r="E810" t="s">
        <v>188</v>
      </c>
      <c r="F810">
        <v>5105010115</v>
      </c>
      <c r="G810">
        <v>417.34</v>
      </c>
      <c r="I810" t="s">
        <v>160</v>
      </c>
      <c r="J810" t="s">
        <v>577</v>
      </c>
      <c r="K810" t="s">
        <v>167</v>
      </c>
      <c r="L810">
        <v>5500000256</v>
      </c>
      <c r="M810" t="s">
        <v>676</v>
      </c>
    </row>
    <row r="811" spans="3:13">
      <c r="C811">
        <v>2100300025</v>
      </c>
      <c r="D811">
        <v>5626000</v>
      </c>
      <c r="E811" t="s">
        <v>188</v>
      </c>
      <c r="F811">
        <v>5105010115</v>
      </c>
      <c r="G811">
        <v>462.04</v>
      </c>
      <c r="I811" t="s">
        <v>160</v>
      </c>
      <c r="J811" t="s">
        <v>579</v>
      </c>
      <c r="K811" t="s">
        <v>167</v>
      </c>
      <c r="L811">
        <v>5500000331</v>
      </c>
      <c r="M811" t="s">
        <v>677</v>
      </c>
    </row>
    <row r="812" spans="3:13">
      <c r="C812">
        <v>2100300025</v>
      </c>
      <c r="D812">
        <v>5626000</v>
      </c>
      <c r="E812" t="s">
        <v>188</v>
      </c>
      <c r="F812">
        <v>5105010115</v>
      </c>
      <c r="G812">
        <v>447.16</v>
      </c>
      <c r="I812" t="s">
        <v>160</v>
      </c>
      <c r="J812" t="s">
        <v>581</v>
      </c>
      <c r="K812" t="s">
        <v>167</v>
      </c>
      <c r="L812">
        <v>5500000406</v>
      </c>
      <c r="M812" t="s">
        <v>678</v>
      </c>
    </row>
    <row r="813" spans="3:13">
      <c r="C813">
        <v>2100300025</v>
      </c>
      <c r="D813">
        <v>5626000</v>
      </c>
      <c r="E813" t="s">
        <v>188</v>
      </c>
      <c r="F813">
        <v>5105010115</v>
      </c>
      <c r="G813">
        <v>462.05</v>
      </c>
      <c r="I813" t="s">
        <v>160</v>
      </c>
      <c r="J813" t="s">
        <v>583</v>
      </c>
      <c r="K813" t="s">
        <v>167</v>
      </c>
      <c r="L813">
        <v>5500000482</v>
      </c>
      <c r="M813" t="s">
        <v>679</v>
      </c>
    </row>
    <row r="814" spans="3:13">
      <c r="C814">
        <v>2100300025</v>
      </c>
      <c r="D814">
        <v>5626000</v>
      </c>
      <c r="E814" t="s">
        <v>188</v>
      </c>
      <c r="F814">
        <v>5105010115</v>
      </c>
      <c r="G814">
        <v>447.15</v>
      </c>
      <c r="I814" t="s">
        <v>160</v>
      </c>
      <c r="J814" t="s">
        <v>585</v>
      </c>
      <c r="K814" t="s">
        <v>167</v>
      </c>
      <c r="L814">
        <v>5500000559</v>
      </c>
      <c r="M814" t="s">
        <v>680</v>
      </c>
    </row>
    <row r="815" spans="3:13">
      <c r="C815">
        <v>2100300025</v>
      </c>
      <c r="D815">
        <v>5626000</v>
      </c>
      <c r="E815" t="s">
        <v>188</v>
      </c>
      <c r="F815">
        <v>5105010115</v>
      </c>
      <c r="G815">
        <v>462.05</v>
      </c>
      <c r="I815" t="s">
        <v>160</v>
      </c>
      <c r="J815" t="s">
        <v>587</v>
      </c>
      <c r="K815" t="s">
        <v>167</v>
      </c>
      <c r="L815">
        <v>5500000637</v>
      </c>
      <c r="M815" t="s">
        <v>681</v>
      </c>
    </row>
    <row r="816" spans="3:13">
      <c r="C816">
        <v>2100300025</v>
      </c>
      <c r="D816">
        <v>5626000</v>
      </c>
      <c r="E816" t="s">
        <v>188</v>
      </c>
      <c r="F816">
        <v>5105010115</v>
      </c>
      <c r="G816">
        <v>462.06</v>
      </c>
      <c r="I816" t="s">
        <v>160</v>
      </c>
      <c r="J816" t="s">
        <v>589</v>
      </c>
      <c r="K816" t="s">
        <v>167</v>
      </c>
      <c r="L816">
        <v>5500000714</v>
      </c>
      <c r="M816" t="s">
        <v>682</v>
      </c>
    </row>
    <row r="817" spans="3:13">
      <c r="C817">
        <v>2100300025</v>
      </c>
      <c r="D817">
        <v>5626000</v>
      </c>
      <c r="E817" t="s">
        <v>188</v>
      </c>
      <c r="F817">
        <v>5105010115</v>
      </c>
      <c r="G817">
        <v>447.14</v>
      </c>
      <c r="I817" t="s">
        <v>160</v>
      </c>
      <c r="J817" t="s">
        <v>591</v>
      </c>
      <c r="K817" t="s">
        <v>167</v>
      </c>
      <c r="L817">
        <v>5500000791</v>
      </c>
      <c r="M817" t="s">
        <v>683</v>
      </c>
    </row>
    <row r="818" spans="3:13">
      <c r="C818">
        <v>2100300025</v>
      </c>
      <c r="D818">
        <v>5726000</v>
      </c>
      <c r="E818" t="s">
        <v>188</v>
      </c>
      <c r="F818">
        <v>5105010115</v>
      </c>
      <c r="G818">
        <v>785.48</v>
      </c>
      <c r="I818" t="s">
        <v>160</v>
      </c>
      <c r="J818" t="s">
        <v>571</v>
      </c>
      <c r="K818" t="s">
        <v>167</v>
      </c>
      <c r="L818">
        <v>5500000034</v>
      </c>
      <c r="M818" t="s">
        <v>673</v>
      </c>
    </row>
    <row r="819" spans="3:13">
      <c r="C819">
        <v>2100300025</v>
      </c>
      <c r="D819">
        <v>5726000</v>
      </c>
      <c r="E819" t="s">
        <v>188</v>
      </c>
      <c r="F819">
        <v>5105010115</v>
      </c>
      <c r="G819">
        <v>399.17</v>
      </c>
      <c r="I819" t="s">
        <v>160</v>
      </c>
      <c r="J819" t="s">
        <v>573</v>
      </c>
      <c r="K819" t="s">
        <v>167</v>
      </c>
      <c r="L819">
        <v>5500000108</v>
      </c>
      <c r="M819" t="s">
        <v>674</v>
      </c>
    </row>
    <row r="820" spans="3:13">
      <c r="C820">
        <v>2100300025</v>
      </c>
      <c r="D820">
        <v>5726000</v>
      </c>
      <c r="E820" t="s">
        <v>188</v>
      </c>
      <c r="F820">
        <v>5105010115</v>
      </c>
      <c r="G820">
        <v>399.18</v>
      </c>
      <c r="I820" t="s">
        <v>160</v>
      </c>
      <c r="J820" t="s">
        <v>575</v>
      </c>
      <c r="K820" t="s">
        <v>167</v>
      </c>
      <c r="L820">
        <v>5500000181</v>
      </c>
      <c r="M820" t="s">
        <v>675</v>
      </c>
    </row>
    <row r="821" spans="3:13">
      <c r="C821">
        <v>2100300025</v>
      </c>
      <c r="D821">
        <v>5726000</v>
      </c>
      <c r="E821" t="s">
        <v>188</v>
      </c>
      <c r="F821">
        <v>5105010115</v>
      </c>
      <c r="G821">
        <v>360.56</v>
      </c>
      <c r="I821" t="s">
        <v>160</v>
      </c>
      <c r="J821" t="s">
        <v>577</v>
      </c>
      <c r="K821" t="s">
        <v>167</v>
      </c>
      <c r="L821">
        <v>5500000256</v>
      </c>
      <c r="M821" t="s">
        <v>676</v>
      </c>
    </row>
    <row r="822" spans="3:13">
      <c r="C822">
        <v>2100300025</v>
      </c>
      <c r="D822">
        <v>5726000</v>
      </c>
      <c r="E822" t="s">
        <v>188</v>
      </c>
      <c r="F822">
        <v>5105010115</v>
      </c>
      <c r="G822">
        <v>399.17</v>
      </c>
      <c r="I822" t="s">
        <v>160</v>
      </c>
      <c r="J822" t="s">
        <v>579</v>
      </c>
      <c r="K822" t="s">
        <v>167</v>
      </c>
      <c r="L822">
        <v>5500000331</v>
      </c>
      <c r="M822" t="s">
        <v>677</v>
      </c>
    </row>
    <row r="823" spans="3:13">
      <c r="C823">
        <v>2100300025</v>
      </c>
      <c r="D823">
        <v>5726000</v>
      </c>
      <c r="E823" t="s">
        <v>188</v>
      </c>
      <c r="F823">
        <v>5105010115</v>
      </c>
      <c r="G823">
        <v>386.31</v>
      </c>
      <c r="I823" t="s">
        <v>160</v>
      </c>
      <c r="J823" t="s">
        <v>581</v>
      </c>
      <c r="K823" t="s">
        <v>167</v>
      </c>
      <c r="L823">
        <v>5500000406</v>
      </c>
      <c r="M823" t="s">
        <v>678</v>
      </c>
    </row>
    <row r="824" spans="3:13">
      <c r="C824">
        <v>2100300025</v>
      </c>
      <c r="D824">
        <v>5726000</v>
      </c>
      <c r="E824" t="s">
        <v>188</v>
      </c>
      <c r="F824">
        <v>5105010115</v>
      </c>
      <c r="G824">
        <v>399.17</v>
      </c>
      <c r="I824" t="s">
        <v>160</v>
      </c>
      <c r="J824" t="s">
        <v>583</v>
      </c>
      <c r="K824" t="s">
        <v>167</v>
      </c>
      <c r="L824">
        <v>5500000482</v>
      </c>
      <c r="M824" t="s">
        <v>679</v>
      </c>
    </row>
    <row r="825" spans="3:13">
      <c r="C825">
        <v>2100300025</v>
      </c>
      <c r="D825">
        <v>5726000</v>
      </c>
      <c r="E825" t="s">
        <v>188</v>
      </c>
      <c r="F825">
        <v>5105010115</v>
      </c>
      <c r="G825">
        <v>386.31</v>
      </c>
      <c r="I825" t="s">
        <v>160</v>
      </c>
      <c r="J825" t="s">
        <v>585</v>
      </c>
      <c r="K825" t="s">
        <v>167</v>
      </c>
      <c r="L825">
        <v>5500000559</v>
      </c>
      <c r="M825" t="s">
        <v>680</v>
      </c>
    </row>
    <row r="826" spans="3:13">
      <c r="C826">
        <v>2100300025</v>
      </c>
      <c r="D826">
        <v>5726000</v>
      </c>
      <c r="E826" t="s">
        <v>188</v>
      </c>
      <c r="F826">
        <v>5105010115</v>
      </c>
      <c r="G826">
        <v>399.17</v>
      </c>
      <c r="I826" t="s">
        <v>160</v>
      </c>
      <c r="J826" t="s">
        <v>587</v>
      </c>
      <c r="K826" t="s">
        <v>167</v>
      </c>
      <c r="L826">
        <v>5500000637</v>
      </c>
      <c r="M826" t="s">
        <v>681</v>
      </c>
    </row>
    <row r="827" spans="3:13">
      <c r="C827">
        <v>2100300025</v>
      </c>
      <c r="D827">
        <v>5726000</v>
      </c>
      <c r="E827" t="s">
        <v>188</v>
      </c>
      <c r="F827">
        <v>5105010115</v>
      </c>
      <c r="G827">
        <v>399.18</v>
      </c>
      <c r="I827" t="s">
        <v>160</v>
      </c>
      <c r="J827" t="s">
        <v>589</v>
      </c>
      <c r="K827" t="s">
        <v>167</v>
      </c>
      <c r="L827">
        <v>5500000714</v>
      </c>
      <c r="M827" t="s">
        <v>682</v>
      </c>
    </row>
    <row r="828" spans="3:13">
      <c r="C828">
        <v>2100300025</v>
      </c>
      <c r="D828">
        <v>5726000</v>
      </c>
      <c r="E828" t="s">
        <v>188</v>
      </c>
      <c r="F828">
        <v>5105010115</v>
      </c>
      <c r="G828">
        <v>386.3</v>
      </c>
      <c r="I828" t="s">
        <v>160</v>
      </c>
      <c r="J828" t="s">
        <v>591</v>
      </c>
      <c r="K828" t="s">
        <v>167</v>
      </c>
      <c r="L828">
        <v>5500000791</v>
      </c>
      <c r="M828" t="s">
        <v>683</v>
      </c>
    </row>
    <row r="829" spans="3:13">
      <c r="C829">
        <v>2100300025</v>
      </c>
      <c r="D829">
        <v>5731300</v>
      </c>
      <c r="E829" t="s">
        <v>188</v>
      </c>
      <c r="F829">
        <v>5105010115</v>
      </c>
      <c r="G829">
        <v>100.11</v>
      </c>
      <c r="I829" t="s">
        <v>160</v>
      </c>
      <c r="J829" t="s">
        <v>571</v>
      </c>
      <c r="K829" t="s">
        <v>167</v>
      </c>
      <c r="L829">
        <v>5500000034</v>
      </c>
      <c r="M829" t="s">
        <v>673</v>
      </c>
    </row>
    <row r="830" spans="3:13">
      <c r="C830">
        <v>2100300025</v>
      </c>
      <c r="D830">
        <v>5731300</v>
      </c>
      <c r="E830" t="s">
        <v>188</v>
      </c>
      <c r="F830">
        <v>5105010115</v>
      </c>
      <c r="G830">
        <v>50.87</v>
      </c>
      <c r="I830" t="s">
        <v>160</v>
      </c>
      <c r="J830" t="s">
        <v>573</v>
      </c>
      <c r="K830" t="s">
        <v>167</v>
      </c>
      <c r="L830">
        <v>5500000108</v>
      </c>
      <c r="M830" t="s">
        <v>674</v>
      </c>
    </row>
    <row r="831" spans="3:13">
      <c r="C831">
        <v>2100300025</v>
      </c>
      <c r="D831">
        <v>5731300</v>
      </c>
      <c r="E831" t="s">
        <v>188</v>
      </c>
      <c r="F831">
        <v>5105010115</v>
      </c>
      <c r="G831">
        <v>50.87</v>
      </c>
      <c r="I831" t="s">
        <v>160</v>
      </c>
      <c r="J831" t="s">
        <v>575</v>
      </c>
      <c r="K831" t="s">
        <v>167</v>
      </c>
      <c r="L831">
        <v>5500000181</v>
      </c>
      <c r="M831" t="s">
        <v>675</v>
      </c>
    </row>
    <row r="832" spans="3:13">
      <c r="C832">
        <v>2100300025</v>
      </c>
      <c r="D832">
        <v>5731300</v>
      </c>
      <c r="E832" t="s">
        <v>188</v>
      </c>
      <c r="F832">
        <v>5105010115</v>
      </c>
      <c r="G832">
        <v>45.96</v>
      </c>
      <c r="I832" t="s">
        <v>160</v>
      </c>
      <c r="J832" t="s">
        <v>577</v>
      </c>
      <c r="K832" t="s">
        <v>167</v>
      </c>
      <c r="L832">
        <v>5500000256</v>
      </c>
      <c r="M832" t="s">
        <v>676</v>
      </c>
    </row>
    <row r="833" spans="3:13">
      <c r="C833">
        <v>2100300025</v>
      </c>
      <c r="D833">
        <v>5731300</v>
      </c>
      <c r="E833" t="s">
        <v>188</v>
      </c>
      <c r="F833">
        <v>5105010115</v>
      </c>
      <c r="G833">
        <v>50.87</v>
      </c>
      <c r="I833" t="s">
        <v>160</v>
      </c>
      <c r="J833" t="s">
        <v>579</v>
      </c>
      <c r="K833" t="s">
        <v>167</v>
      </c>
      <c r="L833">
        <v>5500000331</v>
      </c>
      <c r="M833" t="s">
        <v>677</v>
      </c>
    </row>
    <row r="834" spans="3:13">
      <c r="C834">
        <v>2100300025</v>
      </c>
      <c r="D834">
        <v>5731300</v>
      </c>
      <c r="E834" t="s">
        <v>188</v>
      </c>
      <c r="F834">
        <v>5105010115</v>
      </c>
      <c r="G834">
        <v>49.23</v>
      </c>
      <c r="I834" t="s">
        <v>160</v>
      </c>
      <c r="J834" t="s">
        <v>581</v>
      </c>
      <c r="K834" t="s">
        <v>167</v>
      </c>
      <c r="L834">
        <v>5500000406</v>
      </c>
      <c r="M834" t="s">
        <v>678</v>
      </c>
    </row>
    <row r="835" spans="3:13">
      <c r="C835">
        <v>2100300025</v>
      </c>
      <c r="D835">
        <v>5731300</v>
      </c>
      <c r="E835" t="s">
        <v>188</v>
      </c>
      <c r="F835">
        <v>5105010115</v>
      </c>
      <c r="G835">
        <v>50.88</v>
      </c>
      <c r="I835" t="s">
        <v>160</v>
      </c>
      <c r="J835" t="s">
        <v>583</v>
      </c>
      <c r="K835" t="s">
        <v>167</v>
      </c>
      <c r="L835">
        <v>5500000483</v>
      </c>
      <c r="M835" t="s">
        <v>684</v>
      </c>
    </row>
    <row r="836" spans="3:13">
      <c r="C836">
        <v>2100300025</v>
      </c>
      <c r="D836">
        <v>5731300</v>
      </c>
      <c r="E836" t="s">
        <v>188</v>
      </c>
      <c r="F836">
        <v>5105010115</v>
      </c>
      <c r="G836">
        <v>49.23</v>
      </c>
      <c r="I836" t="s">
        <v>160</v>
      </c>
      <c r="J836" t="s">
        <v>585</v>
      </c>
      <c r="K836" t="s">
        <v>167</v>
      </c>
      <c r="L836">
        <v>5500000559</v>
      </c>
      <c r="M836" t="s">
        <v>680</v>
      </c>
    </row>
    <row r="837" spans="3:13">
      <c r="C837">
        <v>2100300025</v>
      </c>
      <c r="D837">
        <v>5731300</v>
      </c>
      <c r="E837" t="s">
        <v>188</v>
      </c>
      <c r="F837">
        <v>5105010115</v>
      </c>
      <c r="G837">
        <v>50.87</v>
      </c>
      <c r="I837" t="s">
        <v>160</v>
      </c>
      <c r="J837" t="s">
        <v>587</v>
      </c>
      <c r="K837" t="s">
        <v>167</v>
      </c>
      <c r="L837">
        <v>5500000637</v>
      </c>
      <c r="M837" t="s">
        <v>681</v>
      </c>
    </row>
    <row r="838" spans="3:13">
      <c r="C838">
        <v>2100300025</v>
      </c>
      <c r="D838">
        <v>5731300</v>
      </c>
      <c r="E838" t="s">
        <v>188</v>
      </c>
      <c r="F838">
        <v>5105010115</v>
      </c>
      <c r="G838">
        <v>50.88</v>
      </c>
      <c r="I838" t="s">
        <v>160</v>
      </c>
      <c r="J838" t="s">
        <v>589</v>
      </c>
      <c r="K838" t="s">
        <v>167</v>
      </c>
      <c r="L838">
        <v>5500000714</v>
      </c>
      <c r="M838" t="s">
        <v>682</v>
      </c>
    </row>
    <row r="839" spans="3:13">
      <c r="C839">
        <v>2100300025</v>
      </c>
      <c r="D839">
        <v>5731300</v>
      </c>
      <c r="E839" t="s">
        <v>188</v>
      </c>
      <c r="F839">
        <v>5105010115</v>
      </c>
      <c r="G839">
        <v>49.23</v>
      </c>
      <c r="I839" t="s">
        <v>160</v>
      </c>
      <c r="J839" t="s">
        <v>591</v>
      </c>
      <c r="K839" t="s">
        <v>167</v>
      </c>
      <c r="L839">
        <v>5500000791</v>
      </c>
      <c r="M839" t="s">
        <v>683</v>
      </c>
    </row>
    <row r="840" spans="3:13">
      <c r="C840">
        <v>2100300025</v>
      </c>
      <c r="D840">
        <v>5826000</v>
      </c>
      <c r="E840" t="s">
        <v>188</v>
      </c>
      <c r="F840">
        <v>5105010115</v>
      </c>
      <c r="G840" s="13">
        <v>3383.42</v>
      </c>
      <c r="I840" t="s">
        <v>160</v>
      </c>
      <c r="J840" t="s">
        <v>571</v>
      </c>
      <c r="K840" t="s">
        <v>167</v>
      </c>
      <c r="L840">
        <v>5500000035</v>
      </c>
      <c r="M840" t="s">
        <v>685</v>
      </c>
    </row>
    <row r="841" spans="3:13">
      <c r="C841">
        <v>2100300025</v>
      </c>
      <c r="D841">
        <v>5826000</v>
      </c>
      <c r="E841" t="s">
        <v>188</v>
      </c>
      <c r="F841">
        <v>5105010115</v>
      </c>
      <c r="G841" s="13">
        <v>1719.45</v>
      </c>
      <c r="I841" t="s">
        <v>160</v>
      </c>
      <c r="J841" t="s">
        <v>573</v>
      </c>
      <c r="K841" t="s">
        <v>167</v>
      </c>
      <c r="L841">
        <v>5500000108</v>
      </c>
      <c r="M841" t="s">
        <v>674</v>
      </c>
    </row>
    <row r="842" spans="3:13">
      <c r="C842">
        <v>2100300025</v>
      </c>
      <c r="D842">
        <v>5826000</v>
      </c>
      <c r="E842" t="s">
        <v>188</v>
      </c>
      <c r="F842">
        <v>5105010115</v>
      </c>
      <c r="G842" s="13">
        <v>1719.45</v>
      </c>
      <c r="I842" t="s">
        <v>160</v>
      </c>
      <c r="J842" t="s">
        <v>575</v>
      </c>
      <c r="K842" t="s">
        <v>167</v>
      </c>
      <c r="L842">
        <v>5500000181</v>
      </c>
      <c r="M842" t="s">
        <v>675</v>
      </c>
    </row>
    <row r="843" spans="3:13">
      <c r="C843">
        <v>2100300025</v>
      </c>
      <c r="D843">
        <v>5826000</v>
      </c>
      <c r="E843" t="s">
        <v>188</v>
      </c>
      <c r="F843">
        <v>5105010115</v>
      </c>
      <c r="G843" s="13">
        <v>1553.03</v>
      </c>
      <c r="I843" t="s">
        <v>160</v>
      </c>
      <c r="J843" t="s">
        <v>577</v>
      </c>
      <c r="K843" t="s">
        <v>167</v>
      </c>
      <c r="L843">
        <v>5500000256</v>
      </c>
      <c r="M843" t="s">
        <v>676</v>
      </c>
    </row>
    <row r="844" spans="3:13">
      <c r="C844">
        <v>2100300025</v>
      </c>
      <c r="D844">
        <v>5826000</v>
      </c>
      <c r="E844" t="s">
        <v>188</v>
      </c>
      <c r="F844">
        <v>5105010115</v>
      </c>
      <c r="G844" s="13">
        <v>1719.46</v>
      </c>
      <c r="I844" t="s">
        <v>160</v>
      </c>
      <c r="J844" t="s">
        <v>579</v>
      </c>
      <c r="K844" t="s">
        <v>167</v>
      </c>
      <c r="L844">
        <v>5500000331</v>
      </c>
      <c r="M844" t="s">
        <v>677</v>
      </c>
    </row>
    <row r="845" spans="3:13">
      <c r="C845">
        <v>2100300025</v>
      </c>
      <c r="D845">
        <v>5826000</v>
      </c>
      <c r="E845" t="s">
        <v>188</v>
      </c>
      <c r="F845">
        <v>5105010115</v>
      </c>
      <c r="G845" s="13">
        <v>1663.98</v>
      </c>
      <c r="I845" t="s">
        <v>160</v>
      </c>
      <c r="J845" t="s">
        <v>581</v>
      </c>
      <c r="K845" t="s">
        <v>167</v>
      </c>
      <c r="L845">
        <v>5500000406</v>
      </c>
      <c r="M845" t="s">
        <v>678</v>
      </c>
    </row>
    <row r="846" spans="3:13">
      <c r="C846">
        <v>2100300025</v>
      </c>
      <c r="D846">
        <v>5826000</v>
      </c>
      <c r="E846" t="s">
        <v>188</v>
      </c>
      <c r="F846">
        <v>5105010115</v>
      </c>
      <c r="G846" s="13">
        <v>1719.44</v>
      </c>
      <c r="I846" t="s">
        <v>160</v>
      </c>
      <c r="J846" t="s">
        <v>583</v>
      </c>
      <c r="K846" t="s">
        <v>167</v>
      </c>
      <c r="L846">
        <v>5500000483</v>
      </c>
      <c r="M846" t="s">
        <v>684</v>
      </c>
    </row>
    <row r="847" spans="3:13">
      <c r="C847">
        <v>2100300025</v>
      </c>
      <c r="D847">
        <v>5826000</v>
      </c>
      <c r="E847" t="s">
        <v>188</v>
      </c>
      <c r="F847">
        <v>5105010115</v>
      </c>
      <c r="G847" s="13">
        <v>1663.97</v>
      </c>
      <c r="I847" t="s">
        <v>160</v>
      </c>
      <c r="J847" t="s">
        <v>585</v>
      </c>
      <c r="K847" t="s">
        <v>167</v>
      </c>
      <c r="L847">
        <v>5500000560</v>
      </c>
      <c r="M847" t="s">
        <v>686</v>
      </c>
    </row>
    <row r="848" spans="3:13">
      <c r="C848">
        <v>2100300025</v>
      </c>
      <c r="D848">
        <v>5826000</v>
      </c>
      <c r="E848" t="s">
        <v>188</v>
      </c>
      <c r="F848">
        <v>5105010115</v>
      </c>
      <c r="G848" s="13">
        <v>1719.45</v>
      </c>
      <c r="I848" t="s">
        <v>160</v>
      </c>
      <c r="J848" t="s">
        <v>587</v>
      </c>
      <c r="K848" t="s">
        <v>167</v>
      </c>
      <c r="L848">
        <v>5500000637</v>
      </c>
      <c r="M848" t="s">
        <v>681</v>
      </c>
    </row>
    <row r="849" spans="3:13">
      <c r="C849">
        <v>2100300025</v>
      </c>
      <c r="D849">
        <v>5826000</v>
      </c>
      <c r="E849" t="s">
        <v>188</v>
      </c>
      <c r="F849">
        <v>5105010115</v>
      </c>
      <c r="G849" s="13">
        <v>1719.44</v>
      </c>
      <c r="I849" t="s">
        <v>160</v>
      </c>
      <c r="J849" t="s">
        <v>589</v>
      </c>
      <c r="K849" t="s">
        <v>167</v>
      </c>
      <c r="L849">
        <v>5500000714</v>
      </c>
      <c r="M849" t="s">
        <v>682</v>
      </c>
    </row>
    <row r="850" spans="3:13">
      <c r="C850">
        <v>2100300025</v>
      </c>
      <c r="D850">
        <v>5826000</v>
      </c>
      <c r="E850" t="s">
        <v>188</v>
      </c>
      <c r="F850">
        <v>5105010115</v>
      </c>
      <c r="G850" s="13">
        <v>1663.98</v>
      </c>
      <c r="I850" t="s">
        <v>160</v>
      </c>
      <c r="J850" t="s">
        <v>591</v>
      </c>
      <c r="K850" t="s">
        <v>167</v>
      </c>
      <c r="L850">
        <v>5500000791</v>
      </c>
      <c r="M850" t="s">
        <v>683</v>
      </c>
    </row>
    <row r="851" spans="3:13">
      <c r="C851">
        <v>2100300025</v>
      </c>
      <c r="D851">
        <v>5831000</v>
      </c>
      <c r="E851" t="s">
        <v>188</v>
      </c>
      <c r="F851">
        <v>5105010115</v>
      </c>
      <c r="G851">
        <v>501.28</v>
      </c>
      <c r="I851" t="s">
        <v>160</v>
      </c>
      <c r="J851" t="s">
        <v>571</v>
      </c>
      <c r="K851" t="s">
        <v>167</v>
      </c>
      <c r="L851">
        <v>5500000035</v>
      </c>
      <c r="M851" t="s">
        <v>685</v>
      </c>
    </row>
    <row r="852" spans="3:13">
      <c r="C852">
        <v>2100300025</v>
      </c>
      <c r="D852">
        <v>5831000</v>
      </c>
      <c r="E852" t="s">
        <v>188</v>
      </c>
      <c r="F852">
        <v>5105010115</v>
      </c>
      <c r="G852">
        <v>254.75</v>
      </c>
      <c r="I852" t="s">
        <v>160</v>
      </c>
      <c r="J852" t="s">
        <v>573</v>
      </c>
      <c r="K852" t="s">
        <v>167</v>
      </c>
      <c r="L852">
        <v>5500000108</v>
      </c>
      <c r="M852" t="s">
        <v>674</v>
      </c>
    </row>
    <row r="853" spans="3:13">
      <c r="C853">
        <v>2100300025</v>
      </c>
      <c r="D853">
        <v>5831000</v>
      </c>
      <c r="E853" t="s">
        <v>188</v>
      </c>
      <c r="F853">
        <v>5105010115</v>
      </c>
      <c r="G853">
        <v>254.74</v>
      </c>
      <c r="I853" t="s">
        <v>160</v>
      </c>
      <c r="J853" t="s">
        <v>575</v>
      </c>
      <c r="K853" t="s">
        <v>167</v>
      </c>
      <c r="L853">
        <v>5500000181</v>
      </c>
      <c r="M853" t="s">
        <v>675</v>
      </c>
    </row>
    <row r="854" spans="3:13">
      <c r="C854">
        <v>2100300025</v>
      </c>
      <c r="D854">
        <v>5831000</v>
      </c>
      <c r="E854" t="s">
        <v>188</v>
      </c>
      <c r="F854">
        <v>5105010115</v>
      </c>
      <c r="G854">
        <v>230.09</v>
      </c>
      <c r="I854" t="s">
        <v>160</v>
      </c>
      <c r="J854" t="s">
        <v>577</v>
      </c>
      <c r="K854" t="s">
        <v>167</v>
      </c>
      <c r="L854">
        <v>5500000256</v>
      </c>
      <c r="M854" t="s">
        <v>676</v>
      </c>
    </row>
    <row r="855" spans="3:13">
      <c r="C855">
        <v>2100300025</v>
      </c>
      <c r="D855">
        <v>5831000</v>
      </c>
      <c r="E855" t="s">
        <v>188</v>
      </c>
      <c r="F855">
        <v>5105010115</v>
      </c>
      <c r="G855">
        <v>254.75</v>
      </c>
      <c r="I855" t="s">
        <v>160</v>
      </c>
      <c r="J855" t="s">
        <v>579</v>
      </c>
      <c r="K855" t="s">
        <v>167</v>
      </c>
      <c r="L855">
        <v>5500000331</v>
      </c>
      <c r="M855" t="s">
        <v>677</v>
      </c>
    </row>
    <row r="856" spans="3:13">
      <c r="C856">
        <v>2100300025</v>
      </c>
      <c r="D856">
        <v>5831000</v>
      </c>
      <c r="E856" t="s">
        <v>188</v>
      </c>
      <c r="F856">
        <v>5105010115</v>
      </c>
      <c r="G856">
        <v>246.53</v>
      </c>
      <c r="I856" t="s">
        <v>160</v>
      </c>
      <c r="J856" t="s">
        <v>581</v>
      </c>
      <c r="K856" t="s">
        <v>167</v>
      </c>
      <c r="L856">
        <v>5500000406</v>
      </c>
      <c r="M856" t="s">
        <v>678</v>
      </c>
    </row>
    <row r="857" spans="3:13">
      <c r="C857">
        <v>2100300025</v>
      </c>
      <c r="D857">
        <v>5831000</v>
      </c>
      <c r="E857" t="s">
        <v>188</v>
      </c>
      <c r="F857">
        <v>5105010115</v>
      </c>
      <c r="G857">
        <v>254.75</v>
      </c>
      <c r="I857" t="s">
        <v>160</v>
      </c>
      <c r="J857" t="s">
        <v>583</v>
      </c>
      <c r="K857" t="s">
        <v>167</v>
      </c>
      <c r="L857">
        <v>5500000483</v>
      </c>
      <c r="M857" t="s">
        <v>684</v>
      </c>
    </row>
    <row r="858" spans="3:13">
      <c r="C858">
        <v>2100300025</v>
      </c>
      <c r="D858">
        <v>5831000</v>
      </c>
      <c r="E858" t="s">
        <v>188</v>
      </c>
      <c r="F858">
        <v>5105010115</v>
      </c>
      <c r="G858">
        <v>246.52</v>
      </c>
      <c r="I858" t="s">
        <v>160</v>
      </c>
      <c r="J858" t="s">
        <v>585</v>
      </c>
      <c r="K858" t="s">
        <v>167</v>
      </c>
      <c r="L858">
        <v>5500000560</v>
      </c>
      <c r="M858" t="s">
        <v>686</v>
      </c>
    </row>
    <row r="859" spans="3:13">
      <c r="C859">
        <v>2100300025</v>
      </c>
      <c r="D859">
        <v>5831000</v>
      </c>
      <c r="E859" t="s">
        <v>188</v>
      </c>
      <c r="F859">
        <v>5105010115</v>
      </c>
      <c r="G859">
        <v>254.75</v>
      </c>
      <c r="I859" t="s">
        <v>160</v>
      </c>
      <c r="J859" t="s">
        <v>587</v>
      </c>
      <c r="K859" t="s">
        <v>167</v>
      </c>
      <c r="L859">
        <v>5500000637</v>
      </c>
      <c r="M859" t="s">
        <v>681</v>
      </c>
    </row>
    <row r="860" spans="3:13">
      <c r="C860">
        <v>2100300025</v>
      </c>
      <c r="D860">
        <v>5831000</v>
      </c>
      <c r="E860" t="s">
        <v>188</v>
      </c>
      <c r="F860">
        <v>5105010115</v>
      </c>
      <c r="G860">
        <v>254.76</v>
      </c>
      <c r="I860" t="s">
        <v>160</v>
      </c>
      <c r="J860" t="s">
        <v>589</v>
      </c>
      <c r="K860" t="s">
        <v>167</v>
      </c>
      <c r="L860">
        <v>5500000714</v>
      </c>
      <c r="M860" t="s">
        <v>682</v>
      </c>
    </row>
    <row r="861" spans="3:13">
      <c r="C861">
        <v>2100300025</v>
      </c>
      <c r="D861">
        <v>5831000</v>
      </c>
      <c r="E861" t="s">
        <v>188</v>
      </c>
      <c r="F861">
        <v>5105010115</v>
      </c>
      <c r="G861">
        <v>246.52</v>
      </c>
      <c r="I861" t="s">
        <v>160</v>
      </c>
      <c r="J861" t="s">
        <v>591</v>
      </c>
      <c r="K861" t="s">
        <v>167</v>
      </c>
      <c r="L861">
        <v>5500000791</v>
      </c>
      <c r="M861" t="s">
        <v>683</v>
      </c>
    </row>
    <row r="862" spans="3:13">
      <c r="C862">
        <v>2100300025</v>
      </c>
      <c r="D862">
        <v>5926000</v>
      </c>
      <c r="E862" t="s">
        <v>188</v>
      </c>
      <c r="F862">
        <v>5105010115</v>
      </c>
      <c r="G862" s="13">
        <v>17026.93</v>
      </c>
      <c r="I862" t="s">
        <v>160</v>
      </c>
      <c r="J862" t="s">
        <v>571</v>
      </c>
      <c r="K862" t="s">
        <v>167</v>
      </c>
      <c r="L862">
        <v>5500000035</v>
      </c>
      <c r="M862" t="s">
        <v>685</v>
      </c>
    </row>
    <row r="863" spans="3:13">
      <c r="C863">
        <v>2100300025</v>
      </c>
      <c r="D863">
        <v>5926000</v>
      </c>
      <c r="E863" t="s">
        <v>188</v>
      </c>
      <c r="F863">
        <v>5105010115</v>
      </c>
      <c r="G863" s="13">
        <v>8653.01</v>
      </c>
      <c r="I863" t="s">
        <v>160</v>
      </c>
      <c r="J863" t="s">
        <v>573</v>
      </c>
      <c r="K863" t="s">
        <v>167</v>
      </c>
      <c r="L863">
        <v>5500000108</v>
      </c>
      <c r="M863" t="s">
        <v>674</v>
      </c>
    </row>
    <row r="864" spans="3:13">
      <c r="C864">
        <v>2100300025</v>
      </c>
      <c r="D864">
        <v>5926000</v>
      </c>
      <c r="E864" t="s">
        <v>188</v>
      </c>
      <c r="F864">
        <v>5105010115</v>
      </c>
      <c r="G864" s="13">
        <v>8653.0400000000009</v>
      </c>
      <c r="I864" t="s">
        <v>160</v>
      </c>
      <c r="J864" t="s">
        <v>575</v>
      </c>
      <c r="K864" t="s">
        <v>167</v>
      </c>
      <c r="L864">
        <v>5500000181</v>
      </c>
      <c r="M864" t="s">
        <v>675</v>
      </c>
    </row>
    <row r="865" spans="3:13">
      <c r="C865">
        <v>2100300025</v>
      </c>
      <c r="D865">
        <v>5926000</v>
      </c>
      <c r="E865" t="s">
        <v>188</v>
      </c>
      <c r="F865">
        <v>5105010115</v>
      </c>
      <c r="G865" s="13">
        <v>7815.64</v>
      </c>
      <c r="I865" t="s">
        <v>160</v>
      </c>
      <c r="J865" t="s">
        <v>577</v>
      </c>
      <c r="K865" t="s">
        <v>167</v>
      </c>
      <c r="L865">
        <v>5500000256</v>
      </c>
      <c r="M865" t="s">
        <v>676</v>
      </c>
    </row>
    <row r="866" spans="3:13">
      <c r="C866">
        <v>2100300025</v>
      </c>
      <c r="D866">
        <v>5926000</v>
      </c>
      <c r="E866" t="s">
        <v>188</v>
      </c>
      <c r="F866">
        <v>5105010115</v>
      </c>
      <c r="G866" s="13">
        <v>8608.2800000000007</v>
      </c>
      <c r="I866" t="s">
        <v>160</v>
      </c>
      <c r="J866" t="s">
        <v>579</v>
      </c>
      <c r="K866" t="s">
        <v>167</v>
      </c>
      <c r="L866">
        <v>5500000331</v>
      </c>
      <c r="M866" t="s">
        <v>677</v>
      </c>
    </row>
    <row r="867" spans="3:13">
      <c r="C867">
        <v>2100300025</v>
      </c>
      <c r="D867">
        <v>5926000</v>
      </c>
      <c r="E867" t="s">
        <v>188</v>
      </c>
      <c r="F867">
        <v>5105010115</v>
      </c>
      <c r="G867" s="13">
        <v>2857.43</v>
      </c>
      <c r="I867" t="s">
        <v>160</v>
      </c>
      <c r="J867" t="s">
        <v>581</v>
      </c>
      <c r="K867" t="s">
        <v>167</v>
      </c>
      <c r="L867">
        <v>5500000406</v>
      </c>
      <c r="M867" t="s">
        <v>678</v>
      </c>
    </row>
    <row r="868" spans="3:13">
      <c r="C868">
        <v>2100300025</v>
      </c>
      <c r="D868">
        <v>5926000</v>
      </c>
      <c r="E868" t="s">
        <v>188</v>
      </c>
      <c r="F868">
        <v>5105010115</v>
      </c>
      <c r="G868">
        <v>517.47</v>
      </c>
      <c r="I868" t="s">
        <v>160</v>
      </c>
      <c r="J868" t="s">
        <v>583</v>
      </c>
      <c r="K868" t="s">
        <v>167</v>
      </c>
      <c r="L868">
        <v>5500000483</v>
      </c>
      <c r="M868" t="s">
        <v>684</v>
      </c>
    </row>
    <row r="869" spans="3:13">
      <c r="C869">
        <v>2100300025</v>
      </c>
      <c r="D869">
        <v>5926000</v>
      </c>
      <c r="E869" t="s">
        <v>188</v>
      </c>
      <c r="F869">
        <v>5105010115</v>
      </c>
      <c r="G869">
        <v>295.11</v>
      </c>
      <c r="I869" t="s">
        <v>160</v>
      </c>
      <c r="J869" t="s">
        <v>585</v>
      </c>
      <c r="K869" t="s">
        <v>167</v>
      </c>
      <c r="L869">
        <v>5500000560</v>
      </c>
      <c r="M869" t="s">
        <v>686</v>
      </c>
    </row>
    <row r="870" spans="3:13">
      <c r="C870">
        <v>2100300025</v>
      </c>
      <c r="D870">
        <v>5926000</v>
      </c>
      <c r="E870" t="s">
        <v>188</v>
      </c>
      <c r="F870">
        <v>5105010115</v>
      </c>
      <c r="G870">
        <v>243.94</v>
      </c>
      <c r="I870" t="s">
        <v>160</v>
      </c>
      <c r="J870" t="s">
        <v>587</v>
      </c>
      <c r="K870" t="s">
        <v>167</v>
      </c>
      <c r="L870">
        <v>5500000637</v>
      </c>
      <c r="M870" t="s">
        <v>681</v>
      </c>
    </row>
    <row r="871" spans="3:13">
      <c r="C871">
        <v>2100300025</v>
      </c>
      <c r="D871">
        <v>5926000</v>
      </c>
      <c r="E871" t="s">
        <v>188</v>
      </c>
      <c r="F871">
        <v>5105010115</v>
      </c>
      <c r="G871">
        <v>54.09</v>
      </c>
      <c r="I871" t="s">
        <v>160</v>
      </c>
      <c r="J871" t="s">
        <v>589</v>
      </c>
      <c r="K871" t="s">
        <v>167</v>
      </c>
      <c r="L871">
        <v>5500000714</v>
      </c>
      <c r="M871" t="s">
        <v>682</v>
      </c>
    </row>
    <row r="872" spans="3:13">
      <c r="C872">
        <v>2100300025</v>
      </c>
      <c r="D872">
        <v>6031000</v>
      </c>
      <c r="E872" t="s">
        <v>188</v>
      </c>
      <c r="F872">
        <v>5105010115</v>
      </c>
      <c r="G872" s="13">
        <v>2242.79</v>
      </c>
      <c r="I872" t="s">
        <v>160</v>
      </c>
      <c r="J872" t="s">
        <v>571</v>
      </c>
      <c r="K872" t="s">
        <v>167</v>
      </c>
      <c r="L872">
        <v>5500000035</v>
      </c>
      <c r="M872" t="s">
        <v>685</v>
      </c>
    </row>
    <row r="873" spans="3:13">
      <c r="C873">
        <v>2100300025</v>
      </c>
      <c r="D873">
        <v>6031000</v>
      </c>
      <c r="E873" t="s">
        <v>188</v>
      </c>
      <c r="F873">
        <v>5105010115</v>
      </c>
      <c r="G873" s="13">
        <v>1139.78</v>
      </c>
      <c r="I873" t="s">
        <v>160</v>
      </c>
      <c r="J873" t="s">
        <v>573</v>
      </c>
      <c r="K873" t="s">
        <v>167</v>
      </c>
      <c r="L873">
        <v>5500000108</v>
      </c>
      <c r="M873" t="s">
        <v>674</v>
      </c>
    </row>
    <row r="874" spans="3:13">
      <c r="C874">
        <v>2100300025</v>
      </c>
      <c r="D874">
        <v>6031000</v>
      </c>
      <c r="E874" t="s">
        <v>188</v>
      </c>
      <c r="F874">
        <v>5105010115</v>
      </c>
      <c r="G874" s="13">
        <v>1139.79</v>
      </c>
      <c r="I874" t="s">
        <v>160</v>
      </c>
      <c r="J874" t="s">
        <v>575</v>
      </c>
      <c r="K874" t="s">
        <v>167</v>
      </c>
      <c r="L874">
        <v>5500000181</v>
      </c>
      <c r="M874" t="s">
        <v>675</v>
      </c>
    </row>
    <row r="875" spans="3:13">
      <c r="C875">
        <v>2100300025</v>
      </c>
      <c r="D875">
        <v>6031000</v>
      </c>
      <c r="E875" t="s">
        <v>188</v>
      </c>
      <c r="F875">
        <v>5105010115</v>
      </c>
      <c r="G875" s="13">
        <v>1029.48</v>
      </c>
      <c r="I875" t="s">
        <v>160</v>
      </c>
      <c r="J875" t="s">
        <v>577</v>
      </c>
      <c r="K875" t="s">
        <v>167</v>
      </c>
      <c r="L875">
        <v>5500000256</v>
      </c>
      <c r="M875" t="s">
        <v>676</v>
      </c>
    </row>
    <row r="876" spans="3:13">
      <c r="C876">
        <v>2100300025</v>
      </c>
      <c r="D876">
        <v>6031000</v>
      </c>
      <c r="E876" t="s">
        <v>188</v>
      </c>
      <c r="F876">
        <v>5105010115</v>
      </c>
      <c r="G876" s="13">
        <v>1139.77</v>
      </c>
      <c r="I876" t="s">
        <v>160</v>
      </c>
      <c r="J876" t="s">
        <v>579</v>
      </c>
      <c r="K876" t="s">
        <v>167</v>
      </c>
      <c r="L876">
        <v>5500000331</v>
      </c>
      <c r="M876" t="s">
        <v>677</v>
      </c>
    </row>
    <row r="877" spans="3:13">
      <c r="C877">
        <v>2100300025</v>
      </c>
      <c r="D877">
        <v>6031000</v>
      </c>
      <c r="E877" t="s">
        <v>188</v>
      </c>
      <c r="F877">
        <v>5105010115</v>
      </c>
      <c r="G877" s="13">
        <v>1103.02</v>
      </c>
      <c r="I877" t="s">
        <v>160</v>
      </c>
      <c r="J877" t="s">
        <v>581</v>
      </c>
      <c r="K877" t="s">
        <v>167</v>
      </c>
      <c r="L877">
        <v>5500000407</v>
      </c>
      <c r="M877" t="s">
        <v>687</v>
      </c>
    </row>
    <row r="878" spans="3:13">
      <c r="C878">
        <v>2100300025</v>
      </c>
      <c r="D878">
        <v>6031000</v>
      </c>
      <c r="E878" t="s">
        <v>188</v>
      </c>
      <c r="F878">
        <v>5105010115</v>
      </c>
      <c r="G878" s="13">
        <v>1139.78</v>
      </c>
      <c r="I878" t="s">
        <v>160</v>
      </c>
      <c r="J878" t="s">
        <v>583</v>
      </c>
      <c r="K878" t="s">
        <v>167</v>
      </c>
      <c r="L878">
        <v>5500000483</v>
      </c>
      <c r="M878" t="s">
        <v>684</v>
      </c>
    </row>
    <row r="879" spans="3:13">
      <c r="C879">
        <v>2100300025</v>
      </c>
      <c r="D879">
        <v>6031000</v>
      </c>
      <c r="E879" t="s">
        <v>188</v>
      </c>
      <c r="F879">
        <v>5105010115</v>
      </c>
      <c r="G879" s="13">
        <v>1103.02</v>
      </c>
      <c r="I879" t="s">
        <v>160</v>
      </c>
      <c r="J879" t="s">
        <v>585</v>
      </c>
      <c r="K879" t="s">
        <v>167</v>
      </c>
      <c r="L879">
        <v>5500000560</v>
      </c>
      <c r="M879" t="s">
        <v>686</v>
      </c>
    </row>
    <row r="880" spans="3:13">
      <c r="C880">
        <v>2100300025</v>
      </c>
      <c r="D880">
        <v>6031000</v>
      </c>
      <c r="E880" t="s">
        <v>188</v>
      </c>
      <c r="F880">
        <v>5105010115</v>
      </c>
      <c r="G880" s="13">
        <v>1139.78</v>
      </c>
      <c r="I880" t="s">
        <v>160</v>
      </c>
      <c r="J880" t="s">
        <v>587</v>
      </c>
      <c r="K880" t="s">
        <v>167</v>
      </c>
      <c r="L880">
        <v>5500000637</v>
      </c>
      <c r="M880" t="s">
        <v>681</v>
      </c>
    </row>
    <row r="881" spans="3:13">
      <c r="C881">
        <v>2100300025</v>
      </c>
      <c r="D881">
        <v>6031000</v>
      </c>
      <c r="E881" t="s">
        <v>188</v>
      </c>
      <c r="F881">
        <v>5105010115</v>
      </c>
      <c r="G881" s="13">
        <v>1139.77</v>
      </c>
      <c r="I881" t="s">
        <v>160</v>
      </c>
      <c r="J881" t="s">
        <v>589</v>
      </c>
      <c r="K881" t="s">
        <v>167</v>
      </c>
      <c r="L881">
        <v>5500000714</v>
      </c>
      <c r="M881" t="s">
        <v>682</v>
      </c>
    </row>
    <row r="882" spans="3:13">
      <c r="C882">
        <v>2100300025</v>
      </c>
      <c r="D882">
        <v>6031000</v>
      </c>
      <c r="E882" t="s">
        <v>188</v>
      </c>
      <c r="F882">
        <v>5105010115</v>
      </c>
      <c r="G882" s="13">
        <v>1103.02</v>
      </c>
      <c r="I882" t="s">
        <v>160</v>
      </c>
      <c r="J882" t="s">
        <v>591</v>
      </c>
      <c r="K882" t="s">
        <v>167</v>
      </c>
      <c r="L882">
        <v>5500000791</v>
      </c>
      <c r="M882" t="s">
        <v>683</v>
      </c>
    </row>
    <row r="883" spans="3:13">
      <c r="C883">
        <v>2100300025</v>
      </c>
      <c r="D883">
        <v>6026000</v>
      </c>
      <c r="E883" t="s">
        <v>188</v>
      </c>
      <c r="F883">
        <v>5105010115</v>
      </c>
      <c r="G883" s="13">
        <v>8271.1</v>
      </c>
      <c r="I883" t="s">
        <v>160</v>
      </c>
      <c r="J883" t="s">
        <v>571</v>
      </c>
      <c r="K883" t="s">
        <v>167</v>
      </c>
      <c r="L883">
        <v>5500000035</v>
      </c>
      <c r="M883" t="s">
        <v>685</v>
      </c>
    </row>
    <row r="884" spans="3:13">
      <c r="C884">
        <v>2100300025</v>
      </c>
      <c r="D884">
        <v>6026000</v>
      </c>
      <c r="E884" t="s">
        <v>188</v>
      </c>
      <c r="F884">
        <v>5105010115</v>
      </c>
      <c r="G884" s="13">
        <v>4203.3599999999997</v>
      </c>
      <c r="I884" t="s">
        <v>160</v>
      </c>
      <c r="J884" t="s">
        <v>573</v>
      </c>
      <c r="K884" t="s">
        <v>167</v>
      </c>
      <c r="L884">
        <v>5500000108</v>
      </c>
      <c r="M884" t="s">
        <v>674</v>
      </c>
    </row>
    <row r="885" spans="3:13">
      <c r="C885">
        <v>2100300025</v>
      </c>
      <c r="D885">
        <v>6026000</v>
      </c>
      <c r="E885" t="s">
        <v>188</v>
      </c>
      <c r="F885">
        <v>5105010115</v>
      </c>
      <c r="G885" s="13">
        <v>4203.33</v>
      </c>
      <c r="I885" t="s">
        <v>160</v>
      </c>
      <c r="J885" t="s">
        <v>575</v>
      </c>
      <c r="K885" t="s">
        <v>167</v>
      </c>
      <c r="L885">
        <v>5500000181</v>
      </c>
      <c r="M885" t="s">
        <v>675</v>
      </c>
    </row>
    <row r="886" spans="3:13">
      <c r="C886">
        <v>2100300025</v>
      </c>
      <c r="D886">
        <v>6026000</v>
      </c>
      <c r="E886" t="s">
        <v>188</v>
      </c>
      <c r="F886">
        <v>5105010115</v>
      </c>
      <c r="G886" s="13">
        <v>3796.59</v>
      </c>
      <c r="I886" t="s">
        <v>160</v>
      </c>
      <c r="J886" t="s">
        <v>577</v>
      </c>
      <c r="K886" t="s">
        <v>167</v>
      </c>
      <c r="L886">
        <v>5500000256</v>
      </c>
      <c r="M886" t="s">
        <v>676</v>
      </c>
    </row>
    <row r="887" spans="3:13">
      <c r="C887">
        <v>2100300025</v>
      </c>
      <c r="D887">
        <v>6026000</v>
      </c>
      <c r="E887" t="s">
        <v>188</v>
      </c>
      <c r="F887">
        <v>5105010115</v>
      </c>
      <c r="G887" s="13">
        <v>4203.32</v>
      </c>
      <c r="I887" t="s">
        <v>160</v>
      </c>
      <c r="J887" t="s">
        <v>579</v>
      </c>
      <c r="K887" t="s">
        <v>167</v>
      </c>
      <c r="L887">
        <v>5500000331</v>
      </c>
      <c r="M887" t="s">
        <v>677</v>
      </c>
    </row>
    <row r="888" spans="3:13">
      <c r="C888">
        <v>2100300025</v>
      </c>
      <c r="D888">
        <v>6026000</v>
      </c>
      <c r="E888" t="s">
        <v>188</v>
      </c>
      <c r="F888">
        <v>5105010115</v>
      </c>
      <c r="G888" s="13">
        <v>4067.78</v>
      </c>
      <c r="I888" t="s">
        <v>160</v>
      </c>
      <c r="J888" t="s">
        <v>581</v>
      </c>
      <c r="K888" t="s">
        <v>167</v>
      </c>
      <c r="L888">
        <v>5500000406</v>
      </c>
      <c r="M888" t="s">
        <v>678</v>
      </c>
    </row>
    <row r="889" spans="3:13">
      <c r="C889">
        <v>2100300025</v>
      </c>
      <c r="D889">
        <v>6026000</v>
      </c>
      <c r="E889" t="s">
        <v>188</v>
      </c>
      <c r="F889">
        <v>5105010115</v>
      </c>
      <c r="G889" s="13">
        <v>4203.33</v>
      </c>
      <c r="I889" t="s">
        <v>160</v>
      </c>
      <c r="J889" t="s">
        <v>583</v>
      </c>
      <c r="K889" t="s">
        <v>167</v>
      </c>
      <c r="L889">
        <v>5500000483</v>
      </c>
      <c r="M889" t="s">
        <v>684</v>
      </c>
    </row>
    <row r="890" spans="3:13">
      <c r="C890">
        <v>2100300025</v>
      </c>
      <c r="D890">
        <v>6026000</v>
      </c>
      <c r="E890" t="s">
        <v>188</v>
      </c>
      <c r="F890">
        <v>5105010115</v>
      </c>
      <c r="G890" s="13">
        <v>4067.73</v>
      </c>
      <c r="I890" t="s">
        <v>160</v>
      </c>
      <c r="J890" t="s">
        <v>585</v>
      </c>
      <c r="K890" t="s">
        <v>167</v>
      </c>
      <c r="L890">
        <v>5500000560</v>
      </c>
      <c r="M890" t="s">
        <v>686</v>
      </c>
    </row>
    <row r="891" spans="3:13">
      <c r="C891">
        <v>2100300025</v>
      </c>
      <c r="D891">
        <v>6026000</v>
      </c>
      <c r="E891" t="s">
        <v>188</v>
      </c>
      <c r="F891">
        <v>5105010115</v>
      </c>
      <c r="G891" s="13">
        <v>4203.3599999999997</v>
      </c>
      <c r="I891" t="s">
        <v>160</v>
      </c>
      <c r="J891" t="s">
        <v>587</v>
      </c>
      <c r="K891" t="s">
        <v>167</v>
      </c>
      <c r="L891">
        <v>5500000637</v>
      </c>
      <c r="M891" t="s">
        <v>681</v>
      </c>
    </row>
    <row r="892" spans="3:13">
      <c r="C892">
        <v>2100300025</v>
      </c>
      <c r="D892">
        <v>6026000</v>
      </c>
      <c r="E892" t="s">
        <v>188</v>
      </c>
      <c r="F892">
        <v>5105010115</v>
      </c>
      <c r="G892" s="13">
        <v>4203.3599999999997</v>
      </c>
      <c r="I892" t="s">
        <v>160</v>
      </c>
      <c r="J892" t="s">
        <v>589</v>
      </c>
      <c r="K892" t="s">
        <v>167</v>
      </c>
      <c r="L892">
        <v>5500000714</v>
      </c>
      <c r="M892" t="s">
        <v>682</v>
      </c>
    </row>
    <row r="893" spans="3:13">
      <c r="C893">
        <v>2100300025</v>
      </c>
      <c r="D893">
        <v>6026000</v>
      </c>
      <c r="E893" t="s">
        <v>188</v>
      </c>
      <c r="F893">
        <v>5105010115</v>
      </c>
      <c r="G893" s="13">
        <v>4067.74</v>
      </c>
      <c r="I893" t="s">
        <v>160</v>
      </c>
      <c r="J893" t="s">
        <v>591</v>
      </c>
      <c r="K893" t="s">
        <v>167</v>
      </c>
      <c r="L893">
        <v>5500000791</v>
      </c>
      <c r="M893" t="s">
        <v>683</v>
      </c>
    </row>
    <row r="894" spans="3:13">
      <c r="C894">
        <v>2100300025</v>
      </c>
      <c r="D894">
        <v>6126000</v>
      </c>
      <c r="E894" t="s">
        <v>188</v>
      </c>
      <c r="F894">
        <v>5105010115</v>
      </c>
      <c r="G894" s="13">
        <v>23132.95</v>
      </c>
      <c r="I894" t="s">
        <v>160</v>
      </c>
      <c r="J894" t="s">
        <v>571</v>
      </c>
      <c r="K894" t="s">
        <v>167</v>
      </c>
      <c r="L894">
        <v>5500000035</v>
      </c>
      <c r="M894" t="s">
        <v>685</v>
      </c>
    </row>
    <row r="895" spans="3:13">
      <c r="C895">
        <v>2100300025</v>
      </c>
      <c r="D895">
        <v>6126000</v>
      </c>
      <c r="E895" t="s">
        <v>188</v>
      </c>
      <c r="F895">
        <v>5105010115</v>
      </c>
      <c r="G895" s="13">
        <v>11756.06</v>
      </c>
      <c r="I895" t="s">
        <v>160</v>
      </c>
      <c r="J895" t="s">
        <v>573</v>
      </c>
      <c r="K895" t="s">
        <v>167</v>
      </c>
      <c r="L895">
        <v>5500000108</v>
      </c>
      <c r="M895" t="s">
        <v>674</v>
      </c>
    </row>
    <row r="896" spans="3:13">
      <c r="C896">
        <v>2100300025</v>
      </c>
      <c r="D896">
        <v>6126000</v>
      </c>
      <c r="E896" t="s">
        <v>188</v>
      </c>
      <c r="F896">
        <v>5105010115</v>
      </c>
      <c r="G896" s="13">
        <v>11756.08</v>
      </c>
      <c r="I896" t="s">
        <v>160</v>
      </c>
      <c r="J896" t="s">
        <v>575</v>
      </c>
      <c r="K896" t="s">
        <v>167</v>
      </c>
      <c r="L896">
        <v>5500000181</v>
      </c>
      <c r="M896" t="s">
        <v>675</v>
      </c>
    </row>
    <row r="897" spans="3:13">
      <c r="C897">
        <v>2100300025</v>
      </c>
      <c r="D897">
        <v>6126000</v>
      </c>
      <c r="E897" t="s">
        <v>188</v>
      </c>
      <c r="F897">
        <v>5105010115</v>
      </c>
      <c r="G897" s="13">
        <v>10618.42</v>
      </c>
      <c r="I897" t="s">
        <v>160</v>
      </c>
      <c r="J897" t="s">
        <v>577</v>
      </c>
      <c r="K897" t="s">
        <v>167</v>
      </c>
      <c r="L897">
        <v>5500000256</v>
      </c>
      <c r="M897" t="s">
        <v>676</v>
      </c>
    </row>
    <row r="898" spans="3:13">
      <c r="C898">
        <v>2100300025</v>
      </c>
      <c r="D898">
        <v>6126000</v>
      </c>
      <c r="E898" t="s">
        <v>188</v>
      </c>
      <c r="F898">
        <v>5105010115</v>
      </c>
      <c r="G898" s="13">
        <v>11756.09</v>
      </c>
      <c r="I898" t="s">
        <v>160</v>
      </c>
      <c r="J898" t="s">
        <v>579</v>
      </c>
      <c r="K898" t="s">
        <v>167</v>
      </c>
      <c r="L898">
        <v>5500000331</v>
      </c>
      <c r="M898" t="s">
        <v>677</v>
      </c>
    </row>
    <row r="899" spans="3:13">
      <c r="C899">
        <v>2100300025</v>
      </c>
      <c r="D899">
        <v>6126000</v>
      </c>
      <c r="E899" t="s">
        <v>188</v>
      </c>
      <c r="F899">
        <v>5105010115</v>
      </c>
      <c r="G899" s="13">
        <v>11376.85</v>
      </c>
      <c r="I899" t="s">
        <v>160</v>
      </c>
      <c r="J899" t="s">
        <v>581</v>
      </c>
      <c r="K899" t="s">
        <v>167</v>
      </c>
      <c r="L899">
        <v>5500000407</v>
      </c>
      <c r="M899" t="s">
        <v>687</v>
      </c>
    </row>
    <row r="900" spans="3:13">
      <c r="C900">
        <v>2100300025</v>
      </c>
      <c r="D900">
        <v>6126000</v>
      </c>
      <c r="E900" t="s">
        <v>188</v>
      </c>
      <c r="F900">
        <v>5105010115</v>
      </c>
      <c r="G900" s="13">
        <v>11756.07</v>
      </c>
      <c r="I900" t="s">
        <v>160</v>
      </c>
      <c r="J900" t="s">
        <v>583</v>
      </c>
      <c r="K900" t="s">
        <v>167</v>
      </c>
      <c r="L900">
        <v>5500000483</v>
      </c>
      <c r="M900" t="s">
        <v>684</v>
      </c>
    </row>
    <row r="901" spans="3:13">
      <c r="C901">
        <v>2100300025</v>
      </c>
      <c r="D901">
        <v>6126000</v>
      </c>
      <c r="E901" t="s">
        <v>188</v>
      </c>
      <c r="F901">
        <v>5105010115</v>
      </c>
      <c r="G901" s="13">
        <v>11376.87</v>
      </c>
      <c r="I901" t="s">
        <v>160</v>
      </c>
      <c r="J901" t="s">
        <v>585</v>
      </c>
      <c r="K901" t="s">
        <v>167</v>
      </c>
      <c r="L901">
        <v>5500000560</v>
      </c>
      <c r="M901" t="s">
        <v>686</v>
      </c>
    </row>
    <row r="902" spans="3:13">
      <c r="C902">
        <v>2100300025</v>
      </c>
      <c r="D902">
        <v>6126000</v>
      </c>
      <c r="E902" t="s">
        <v>188</v>
      </c>
      <c r="F902">
        <v>5105010115</v>
      </c>
      <c r="G902" s="13">
        <v>11756.06</v>
      </c>
      <c r="I902" t="s">
        <v>160</v>
      </c>
      <c r="J902" t="s">
        <v>587</v>
      </c>
      <c r="K902" t="s">
        <v>167</v>
      </c>
      <c r="L902">
        <v>5500000637</v>
      </c>
      <c r="M902" t="s">
        <v>681</v>
      </c>
    </row>
    <row r="903" spans="3:13">
      <c r="C903">
        <v>2100300025</v>
      </c>
      <c r="D903">
        <v>6126000</v>
      </c>
      <c r="E903" t="s">
        <v>188</v>
      </c>
      <c r="F903">
        <v>5105010115</v>
      </c>
      <c r="G903" s="13">
        <v>11756.1</v>
      </c>
      <c r="I903" t="s">
        <v>160</v>
      </c>
      <c r="J903" t="s">
        <v>589</v>
      </c>
      <c r="K903" t="s">
        <v>167</v>
      </c>
      <c r="L903">
        <v>5500000714</v>
      </c>
      <c r="M903" t="s">
        <v>682</v>
      </c>
    </row>
    <row r="904" spans="3:13">
      <c r="C904">
        <v>2100300025</v>
      </c>
      <c r="D904">
        <v>6126000</v>
      </c>
      <c r="E904" t="s">
        <v>188</v>
      </c>
      <c r="F904">
        <v>5105010115</v>
      </c>
      <c r="G904" s="13">
        <v>11376.85</v>
      </c>
      <c r="I904" t="s">
        <v>160</v>
      </c>
      <c r="J904" t="s">
        <v>591</v>
      </c>
      <c r="K904" t="s">
        <v>167</v>
      </c>
      <c r="L904">
        <v>5500000791</v>
      </c>
      <c r="M904" t="s">
        <v>683</v>
      </c>
    </row>
    <row r="905" spans="3:13">
      <c r="C905">
        <v>2100300025</v>
      </c>
      <c r="D905">
        <v>6131000</v>
      </c>
      <c r="E905" t="s">
        <v>188</v>
      </c>
      <c r="F905">
        <v>5105010115</v>
      </c>
      <c r="G905">
        <v>501.37</v>
      </c>
      <c r="I905" t="s">
        <v>160</v>
      </c>
      <c r="J905" t="s">
        <v>571</v>
      </c>
      <c r="K905" t="s">
        <v>167</v>
      </c>
      <c r="L905">
        <v>5500000035</v>
      </c>
      <c r="M905" t="s">
        <v>685</v>
      </c>
    </row>
    <row r="906" spans="3:13">
      <c r="C906">
        <v>2100300025</v>
      </c>
      <c r="D906">
        <v>6131000</v>
      </c>
      <c r="E906" t="s">
        <v>188</v>
      </c>
      <c r="F906">
        <v>5105010115</v>
      </c>
      <c r="G906">
        <v>254.79</v>
      </c>
      <c r="I906" t="s">
        <v>160</v>
      </c>
      <c r="J906" t="s">
        <v>573</v>
      </c>
      <c r="K906" t="s">
        <v>167</v>
      </c>
      <c r="L906">
        <v>5500000108</v>
      </c>
      <c r="M906" t="s">
        <v>674</v>
      </c>
    </row>
    <row r="907" spans="3:13">
      <c r="C907">
        <v>2100300025</v>
      </c>
      <c r="D907">
        <v>6131000</v>
      </c>
      <c r="E907" t="s">
        <v>188</v>
      </c>
      <c r="F907">
        <v>5105010115</v>
      </c>
      <c r="G907">
        <v>254.8</v>
      </c>
      <c r="I907" t="s">
        <v>160</v>
      </c>
      <c r="J907" t="s">
        <v>575</v>
      </c>
      <c r="K907" t="s">
        <v>167</v>
      </c>
      <c r="L907">
        <v>5500000181</v>
      </c>
      <c r="M907" t="s">
        <v>675</v>
      </c>
    </row>
    <row r="908" spans="3:13">
      <c r="C908">
        <v>2100300025</v>
      </c>
      <c r="D908">
        <v>6131000</v>
      </c>
      <c r="E908" t="s">
        <v>188</v>
      </c>
      <c r="F908">
        <v>5105010115</v>
      </c>
      <c r="G908">
        <v>230.14</v>
      </c>
      <c r="I908" t="s">
        <v>160</v>
      </c>
      <c r="J908" t="s">
        <v>577</v>
      </c>
      <c r="K908" t="s">
        <v>167</v>
      </c>
      <c r="L908">
        <v>5500000256</v>
      </c>
      <c r="M908" t="s">
        <v>676</v>
      </c>
    </row>
    <row r="909" spans="3:13">
      <c r="C909">
        <v>2100300025</v>
      </c>
      <c r="D909">
        <v>6131000</v>
      </c>
      <c r="E909" t="s">
        <v>188</v>
      </c>
      <c r="F909">
        <v>5105010115</v>
      </c>
      <c r="G909">
        <v>254.79</v>
      </c>
      <c r="I909" t="s">
        <v>160</v>
      </c>
      <c r="J909" t="s">
        <v>579</v>
      </c>
      <c r="K909" t="s">
        <v>167</v>
      </c>
      <c r="L909">
        <v>5500000331</v>
      </c>
      <c r="M909" t="s">
        <v>677</v>
      </c>
    </row>
    <row r="910" spans="3:13">
      <c r="C910">
        <v>2100300025</v>
      </c>
      <c r="D910">
        <v>6131000</v>
      </c>
      <c r="E910" t="s">
        <v>188</v>
      </c>
      <c r="F910">
        <v>5105010115</v>
      </c>
      <c r="G910">
        <v>246.58</v>
      </c>
      <c r="I910" t="s">
        <v>160</v>
      </c>
      <c r="J910" t="s">
        <v>581</v>
      </c>
      <c r="K910" t="s">
        <v>167</v>
      </c>
      <c r="L910">
        <v>5500000407</v>
      </c>
      <c r="M910" t="s">
        <v>687</v>
      </c>
    </row>
    <row r="911" spans="3:13">
      <c r="C911">
        <v>2100300025</v>
      </c>
      <c r="D911">
        <v>6131000</v>
      </c>
      <c r="E911" t="s">
        <v>188</v>
      </c>
      <c r="F911">
        <v>5105010115</v>
      </c>
      <c r="G911">
        <v>254.79</v>
      </c>
      <c r="I911" t="s">
        <v>160</v>
      </c>
      <c r="J911" t="s">
        <v>583</v>
      </c>
      <c r="K911" t="s">
        <v>167</v>
      </c>
      <c r="L911">
        <v>5500000483</v>
      </c>
      <c r="M911" t="s">
        <v>684</v>
      </c>
    </row>
    <row r="912" spans="3:13">
      <c r="C912">
        <v>2100300025</v>
      </c>
      <c r="D912">
        <v>6131000</v>
      </c>
      <c r="E912" t="s">
        <v>188</v>
      </c>
      <c r="F912">
        <v>5105010115</v>
      </c>
      <c r="G912">
        <v>246.58</v>
      </c>
      <c r="I912" t="s">
        <v>160</v>
      </c>
      <c r="J912" t="s">
        <v>585</v>
      </c>
      <c r="K912" t="s">
        <v>167</v>
      </c>
      <c r="L912">
        <v>5500000560</v>
      </c>
      <c r="M912" t="s">
        <v>686</v>
      </c>
    </row>
    <row r="913" spans="3:13">
      <c r="C913">
        <v>2100300025</v>
      </c>
      <c r="D913">
        <v>6131000</v>
      </c>
      <c r="E913" t="s">
        <v>188</v>
      </c>
      <c r="F913">
        <v>5105010115</v>
      </c>
      <c r="G913">
        <v>254.79</v>
      </c>
      <c r="I913" t="s">
        <v>160</v>
      </c>
      <c r="J913" t="s">
        <v>587</v>
      </c>
      <c r="K913" t="s">
        <v>167</v>
      </c>
      <c r="L913">
        <v>5500000637</v>
      </c>
      <c r="M913" t="s">
        <v>681</v>
      </c>
    </row>
    <row r="914" spans="3:13">
      <c r="C914">
        <v>2100300025</v>
      </c>
      <c r="D914">
        <v>6131000</v>
      </c>
      <c r="E914" t="s">
        <v>188</v>
      </c>
      <c r="F914">
        <v>5105010115</v>
      </c>
      <c r="G914">
        <v>254.79</v>
      </c>
      <c r="I914" t="s">
        <v>160</v>
      </c>
      <c r="J914" t="s">
        <v>589</v>
      </c>
      <c r="K914" t="s">
        <v>167</v>
      </c>
      <c r="L914">
        <v>5500000714</v>
      </c>
      <c r="M914" t="s">
        <v>682</v>
      </c>
    </row>
    <row r="915" spans="3:13">
      <c r="C915">
        <v>2100300025</v>
      </c>
      <c r="D915">
        <v>6131000</v>
      </c>
      <c r="E915" t="s">
        <v>188</v>
      </c>
      <c r="F915">
        <v>5105010115</v>
      </c>
      <c r="G915">
        <v>246.58</v>
      </c>
      <c r="I915" t="s">
        <v>160</v>
      </c>
      <c r="J915" t="s">
        <v>591</v>
      </c>
      <c r="K915" t="s">
        <v>167</v>
      </c>
      <c r="L915">
        <v>5500000791</v>
      </c>
      <c r="M915" t="s">
        <v>683</v>
      </c>
    </row>
    <row r="916" spans="3:13">
      <c r="C916">
        <v>2100300025</v>
      </c>
      <c r="D916">
        <v>6226000</v>
      </c>
      <c r="E916" t="s">
        <v>188</v>
      </c>
      <c r="F916">
        <v>5105010115</v>
      </c>
      <c r="G916" s="13">
        <v>7767.04</v>
      </c>
      <c r="I916" t="s">
        <v>160</v>
      </c>
      <c r="J916" t="s">
        <v>571</v>
      </c>
      <c r="K916" t="s">
        <v>167</v>
      </c>
      <c r="L916">
        <v>5500000035</v>
      </c>
      <c r="M916" t="s">
        <v>685</v>
      </c>
    </row>
    <row r="917" spans="3:13">
      <c r="C917">
        <v>2100300025</v>
      </c>
      <c r="D917">
        <v>6226000</v>
      </c>
      <c r="E917" t="s">
        <v>188</v>
      </c>
      <c r="F917">
        <v>5105010115</v>
      </c>
      <c r="G917" s="13">
        <v>3947.15</v>
      </c>
      <c r="I917" t="s">
        <v>160</v>
      </c>
      <c r="J917" t="s">
        <v>573</v>
      </c>
      <c r="K917" t="s">
        <v>167</v>
      </c>
      <c r="L917">
        <v>5500000108</v>
      </c>
      <c r="M917" t="s">
        <v>674</v>
      </c>
    </row>
    <row r="918" spans="3:13">
      <c r="C918">
        <v>2100300025</v>
      </c>
      <c r="D918">
        <v>6226000</v>
      </c>
      <c r="E918" t="s">
        <v>188</v>
      </c>
      <c r="F918">
        <v>5105010115</v>
      </c>
      <c r="G918" s="13">
        <v>3947.16</v>
      </c>
      <c r="I918" t="s">
        <v>160</v>
      </c>
      <c r="J918" t="s">
        <v>575</v>
      </c>
      <c r="K918" t="s">
        <v>167</v>
      </c>
      <c r="L918">
        <v>5500000181</v>
      </c>
      <c r="M918" t="s">
        <v>675</v>
      </c>
    </row>
    <row r="919" spans="3:13">
      <c r="C919">
        <v>2100300025</v>
      </c>
      <c r="D919">
        <v>6226000</v>
      </c>
      <c r="E919" t="s">
        <v>188</v>
      </c>
      <c r="F919">
        <v>5105010115</v>
      </c>
      <c r="G919" s="13">
        <v>3565.24</v>
      </c>
      <c r="I919" t="s">
        <v>160</v>
      </c>
      <c r="J919" t="s">
        <v>577</v>
      </c>
      <c r="K919" t="s">
        <v>167</v>
      </c>
      <c r="L919">
        <v>5500000256</v>
      </c>
      <c r="M919" t="s">
        <v>676</v>
      </c>
    </row>
    <row r="920" spans="3:13">
      <c r="C920">
        <v>2100300025</v>
      </c>
      <c r="D920">
        <v>6226000</v>
      </c>
      <c r="E920" t="s">
        <v>188</v>
      </c>
      <c r="F920">
        <v>5105010115</v>
      </c>
      <c r="G920" s="13">
        <v>3947.15</v>
      </c>
      <c r="I920" t="s">
        <v>160</v>
      </c>
      <c r="J920" t="s">
        <v>579</v>
      </c>
      <c r="K920" t="s">
        <v>167</v>
      </c>
      <c r="L920">
        <v>5500000331</v>
      </c>
      <c r="M920" t="s">
        <v>677</v>
      </c>
    </row>
    <row r="921" spans="3:13">
      <c r="C921">
        <v>2100300025</v>
      </c>
      <c r="D921">
        <v>6226000</v>
      </c>
      <c r="E921" t="s">
        <v>188</v>
      </c>
      <c r="F921">
        <v>5105010115</v>
      </c>
      <c r="G921" s="13">
        <v>3819.81</v>
      </c>
      <c r="I921" t="s">
        <v>160</v>
      </c>
      <c r="J921" t="s">
        <v>581</v>
      </c>
      <c r="K921" t="s">
        <v>167</v>
      </c>
      <c r="L921">
        <v>5500000407</v>
      </c>
      <c r="M921" t="s">
        <v>687</v>
      </c>
    </row>
    <row r="922" spans="3:13">
      <c r="C922">
        <v>2100300025</v>
      </c>
      <c r="D922">
        <v>6226000</v>
      </c>
      <c r="E922" t="s">
        <v>188</v>
      </c>
      <c r="F922">
        <v>5105010115</v>
      </c>
      <c r="G922" s="13">
        <v>3947.23</v>
      </c>
      <c r="I922" t="s">
        <v>160</v>
      </c>
      <c r="J922" t="s">
        <v>583</v>
      </c>
      <c r="K922" t="s">
        <v>167</v>
      </c>
      <c r="L922">
        <v>5500000483</v>
      </c>
      <c r="M922" t="s">
        <v>684</v>
      </c>
    </row>
    <row r="923" spans="3:13">
      <c r="C923">
        <v>2100300025</v>
      </c>
      <c r="D923">
        <v>6226000</v>
      </c>
      <c r="E923" t="s">
        <v>188</v>
      </c>
      <c r="F923">
        <v>5105010115</v>
      </c>
      <c r="G923" s="13">
        <v>3819.83</v>
      </c>
      <c r="I923" t="s">
        <v>160</v>
      </c>
      <c r="J923" t="s">
        <v>585</v>
      </c>
      <c r="K923" t="s">
        <v>167</v>
      </c>
      <c r="L923">
        <v>5500000560</v>
      </c>
      <c r="M923" t="s">
        <v>686</v>
      </c>
    </row>
    <row r="924" spans="3:13">
      <c r="C924">
        <v>2100300025</v>
      </c>
      <c r="D924">
        <v>6226000</v>
      </c>
      <c r="E924" t="s">
        <v>188</v>
      </c>
      <c r="F924">
        <v>5105010115</v>
      </c>
      <c r="G924" s="13">
        <v>3947.15</v>
      </c>
      <c r="I924" t="s">
        <v>160</v>
      </c>
      <c r="J924" t="s">
        <v>587</v>
      </c>
      <c r="K924" t="s">
        <v>167</v>
      </c>
      <c r="L924">
        <v>5500000637</v>
      </c>
      <c r="M924" t="s">
        <v>681</v>
      </c>
    </row>
    <row r="925" spans="3:13">
      <c r="C925">
        <v>2100300025</v>
      </c>
      <c r="D925">
        <v>6226000</v>
      </c>
      <c r="E925" t="s">
        <v>188</v>
      </c>
      <c r="F925">
        <v>5105010115</v>
      </c>
      <c r="G925" s="13">
        <v>3947.21</v>
      </c>
      <c r="I925" t="s">
        <v>160</v>
      </c>
      <c r="J925" t="s">
        <v>589</v>
      </c>
      <c r="K925" t="s">
        <v>167</v>
      </c>
      <c r="L925">
        <v>5500000714</v>
      </c>
      <c r="M925" t="s">
        <v>682</v>
      </c>
    </row>
    <row r="926" spans="3:13">
      <c r="C926">
        <v>2100300025</v>
      </c>
      <c r="D926">
        <v>6226000</v>
      </c>
      <c r="E926" t="s">
        <v>188</v>
      </c>
      <c r="F926">
        <v>5105010115</v>
      </c>
      <c r="G926" s="13">
        <v>3819.83</v>
      </c>
      <c r="I926" t="s">
        <v>160</v>
      </c>
      <c r="J926" t="s">
        <v>591</v>
      </c>
      <c r="K926" t="s">
        <v>167</v>
      </c>
      <c r="L926">
        <v>5500000791</v>
      </c>
      <c r="M926" t="s">
        <v>683</v>
      </c>
    </row>
    <row r="927" spans="3:13">
      <c r="C927">
        <v>2100300025</v>
      </c>
      <c r="D927">
        <v>6326000</v>
      </c>
      <c r="E927" t="s">
        <v>188</v>
      </c>
      <c r="F927">
        <v>5105010115</v>
      </c>
      <c r="G927" s="13">
        <v>43887.47</v>
      </c>
      <c r="I927" t="s">
        <v>160</v>
      </c>
      <c r="J927" t="s">
        <v>571</v>
      </c>
      <c r="K927" t="s">
        <v>167</v>
      </c>
      <c r="L927">
        <v>5500000035</v>
      </c>
      <c r="M927" t="s">
        <v>685</v>
      </c>
    </row>
    <row r="928" spans="3:13">
      <c r="C928">
        <v>2100300025</v>
      </c>
      <c r="D928">
        <v>6326000</v>
      </c>
      <c r="E928" t="s">
        <v>188</v>
      </c>
      <c r="F928">
        <v>5105010115</v>
      </c>
      <c r="G928" s="13">
        <v>22303.439999999999</v>
      </c>
      <c r="I928" t="s">
        <v>160</v>
      </c>
      <c r="J928" t="s">
        <v>573</v>
      </c>
      <c r="K928" t="s">
        <v>167</v>
      </c>
      <c r="L928">
        <v>5500000108</v>
      </c>
      <c r="M928" t="s">
        <v>674</v>
      </c>
    </row>
    <row r="929" spans="3:13">
      <c r="C929">
        <v>2100300025</v>
      </c>
      <c r="D929">
        <v>6326000</v>
      </c>
      <c r="E929" t="s">
        <v>188</v>
      </c>
      <c r="F929">
        <v>5105010115</v>
      </c>
      <c r="G929" s="13">
        <v>22303.45</v>
      </c>
      <c r="I929" t="s">
        <v>160</v>
      </c>
      <c r="J929" t="s">
        <v>575</v>
      </c>
      <c r="K929" t="s">
        <v>167</v>
      </c>
      <c r="L929">
        <v>5500000181</v>
      </c>
      <c r="M929" t="s">
        <v>675</v>
      </c>
    </row>
    <row r="930" spans="3:13">
      <c r="C930">
        <v>2100300025</v>
      </c>
      <c r="D930">
        <v>6326000</v>
      </c>
      <c r="E930" t="s">
        <v>188</v>
      </c>
      <c r="F930">
        <v>5105010115</v>
      </c>
      <c r="G930" s="13">
        <v>20145.07</v>
      </c>
      <c r="I930" t="s">
        <v>160</v>
      </c>
      <c r="J930" t="s">
        <v>577</v>
      </c>
      <c r="K930" t="s">
        <v>167</v>
      </c>
      <c r="L930">
        <v>5500000256</v>
      </c>
      <c r="M930" t="s">
        <v>676</v>
      </c>
    </row>
    <row r="931" spans="3:13">
      <c r="C931">
        <v>2100300025</v>
      </c>
      <c r="D931">
        <v>6326000</v>
      </c>
      <c r="E931" t="s">
        <v>188</v>
      </c>
      <c r="F931">
        <v>5105010115</v>
      </c>
      <c r="G931" s="13">
        <v>22303.47</v>
      </c>
      <c r="I931" t="s">
        <v>160</v>
      </c>
      <c r="J931" t="s">
        <v>579</v>
      </c>
      <c r="K931" t="s">
        <v>167</v>
      </c>
      <c r="L931">
        <v>5500000331</v>
      </c>
      <c r="M931" t="s">
        <v>677</v>
      </c>
    </row>
    <row r="932" spans="3:13">
      <c r="C932">
        <v>2100300025</v>
      </c>
      <c r="D932">
        <v>6326000</v>
      </c>
      <c r="E932" t="s">
        <v>188</v>
      </c>
      <c r="F932">
        <v>5105010115</v>
      </c>
      <c r="G932" s="13">
        <v>21583.98</v>
      </c>
      <c r="I932" t="s">
        <v>160</v>
      </c>
      <c r="J932" t="s">
        <v>581</v>
      </c>
      <c r="K932" t="s">
        <v>167</v>
      </c>
      <c r="L932">
        <v>5500000407</v>
      </c>
      <c r="M932" t="s">
        <v>687</v>
      </c>
    </row>
    <row r="933" spans="3:13">
      <c r="C933">
        <v>2100300025</v>
      </c>
      <c r="D933">
        <v>6326000</v>
      </c>
      <c r="E933" t="s">
        <v>188</v>
      </c>
      <c r="F933">
        <v>5105010115</v>
      </c>
      <c r="G933" s="13">
        <v>22303.5</v>
      </c>
      <c r="I933" t="s">
        <v>160</v>
      </c>
      <c r="J933" t="s">
        <v>583</v>
      </c>
      <c r="K933" t="s">
        <v>167</v>
      </c>
      <c r="L933">
        <v>5500000483</v>
      </c>
      <c r="M933" t="s">
        <v>684</v>
      </c>
    </row>
    <row r="934" spans="3:13">
      <c r="C934">
        <v>2100300025</v>
      </c>
      <c r="D934">
        <v>6326000</v>
      </c>
      <c r="E934" t="s">
        <v>188</v>
      </c>
      <c r="F934">
        <v>5105010115</v>
      </c>
      <c r="G934" s="13">
        <v>21583.98</v>
      </c>
      <c r="I934" t="s">
        <v>160</v>
      </c>
      <c r="J934" t="s">
        <v>585</v>
      </c>
      <c r="K934" t="s">
        <v>167</v>
      </c>
      <c r="L934">
        <v>5500000560</v>
      </c>
      <c r="M934" t="s">
        <v>686</v>
      </c>
    </row>
    <row r="935" spans="3:13">
      <c r="C935">
        <v>2100300025</v>
      </c>
      <c r="D935">
        <v>6326000</v>
      </c>
      <c r="E935" t="s">
        <v>188</v>
      </c>
      <c r="F935">
        <v>5105010115</v>
      </c>
      <c r="G935" s="13">
        <v>22303.439999999999</v>
      </c>
      <c r="I935" t="s">
        <v>160</v>
      </c>
      <c r="J935" t="s">
        <v>587</v>
      </c>
      <c r="K935" t="s">
        <v>167</v>
      </c>
      <c r="L935">
        <v>5500000637</v>
      </c>
      <c r="M935" t="s">
        <v>681</v>
      </c>
    </row>
    <row r="936" spans="3:13">
      <c r="C936">
        <v>2100300025</v>
      </c>
      <c r="D936">
        <v>6326000</v>
      </c>
      <c r="E936" t="s">
        <v>188</v>
      </c>
      <c r="F936">
        <v>5105010115</v>
      </c>
      <c r="G936" s="13">
        <v>22303.48</v>
      </c>
      <c r="I936" t="s">
        <v>160</v>
      </c>
      <c r="J936" t="s">
        <v>589</v>
      </c>
      <c r="K936" t="s">
        <v>167</v>
      </c>
      <c r="L936">
        <v>5500000714</v>
      </c>
      <c r="M936" t="s">
        <v>682</v>
      </c>
    </row>
    <row r="937" spans="3:13">
      <c r="C937">
        <v>2100300025</v>
      </c>
      <c r="D937">
        <v>6326000</v>
      </c>
      <c r="E937" t="s">
        <v>188</v>
      </c>
      <c r="F937">
        <v>5105010115</v>
      </c>
      <c r="G937" s="13">
        <v>21583.99</v>
      </c>
      <c r="I937" t="s">
        <v>160</v>
      </c>
      <c r="J937" t="s">
        <v>591</v>
      </c>
      <c r="K937" t="s">
        <v>167</v>
      </c>
      <c r="L937">
        <v>5500000791</v>
      </c>
      <c r="M937" t="s">
        <v>683</v>
      </c>
    </row>
    <row r="938" spans="3:13">
      <c r="C938">
        <v>2100300025</v>
      </c>
      <c r="D938">
        <v>6426000</v>
      </c>
      <c r="E938" t="s">
        <v>188</v>
      </c>
      <c r="F938">
        <v>5105010115</v>
      </c>
      <c r="G938">
        <v>320</v>
      </c>
      <c r="I938" t="s">
        <v>160</v>
      </c>
      <c r="J938" t="s">
        <v>579</v>
      </c>
      <c r="K938" t="s">
        <v>167</v>
      </c>
      <c r="L938">
        <v>5500000331</v>
      </c>
      <c r="M938" t="s">
        <v>677</v>
      </c>
    </row>
    <row r="939" spans="3:13">
      <c r="C939">
        <v>2100300025</v>
      </c>
      <c r="D939">
        <v>6426000</v>
      </c>
      <c r="E939" t="s">
        <v>188</v>
      </c>
      <c r="F939">
        <v>5105010115</v>
      </c>
      <c r="G939">
        <v>600</v>
      </c>
      <c r="I939" t="s">
        <v>160</v>
      </c>
      <c r="J939" t="s">
        <v>581</v>
      </c>
      <c r="K939" t="s">
        <v>167</v>
      </c>
      <c r="L939">
        <v>5500000407</v>
      </c>
      <c r="M939" t="s">
        <v>687</v>
      </c>
    </row>
    <row r="940" spans="3:13">
      <c r="C940">
        <v>2100300025</v>
      </c>
      <c r="D940">
        <v>6426000</v>
      </c>
      <c r="E940" t="s">
        <v>188</v>
      </c>
      <c r="F940">
        <v>5105010115</v>
      </c>
      <c r="G940">
        <v>620</v>
      </c>
      <c r="I940" t="s">
        <v>160</v>
      </c>
      <c r="J940" t="s">
        <v>583</v>
      </c>
      <c r="K940" t="s">
        <v>167</v>
      </c>
      <c r="L940">
        <v>5500000483</v>
      </c>
      <c r="M940" t="s">
        <v>684</v>
      </c>
    </row>
    <row r="941" spans="3:13">
      <c r="C941">
        <v>2100300025</v>
      </c>
      <c r="D941">
        <v>6426000</v>
      </c>
      <c r="E941" t="s">
        <v>188</v>
      </c>
      <c r="F941">
        <v>5105010115</v>
      </c>
      <c r="G941" s="13">
        <v>3199.4</v>
      </c>
      <c r="I941" t="s">
        <v>160</v>
      </c>
      <c r="J941" t="s">
        <v>585</v>
      </c>
      <c r="K941" t="s">
        <v>167</v>
      </c>
      <c r="L941">
        <v>5500000560</v>
      </c>
      <c r="M941" t="s">
        <v>686</v>
      </c>
    </row>
    <row r="942" spans="3:13">
      <c r="C942">
        <v>2100300025</v>
      </c>
      <c r="D942">
        <v>6426000</v>
      </c>
      <c r="E942" t="s">
        <v>188</v>
      </c>
      <c r="F942">
        <v>5105010115</v>
      </c>
      <c r="G942" s="13">
        <v>5290.94</v>
      </c>
      <c r="I942" t="s">
        <v>160</v>
      </c>
      <c r="J942" t="s">
        <v>587</v>
      </c>
      <c r="K942" t="s">
        <v>167</v>
      </c>
      <c r="L942">
        <v>5500000637</v>
      </c>
      <c r="M942" t="s">
        <v>681</v>
      </c>
    </row>
    <row r="943" spans="3:13">
      <c r="C943">
        <v>2100300025</v>
      </c>
      <c r="D943">
        <v>6426000</v>
      </c>
      <c r="E943" t="s">
        <v>188</v>
      </c>
      <c r="F943">
        <v>5105010115</v>
      </c>
      <c r="G943" s="13">
        <v>5244.89</v>
      </c>
      <c r="I943" t="s">
        <v>160</v>
      </c>
      <c r="J943" t="s">
        <v>589</v>
      </c>
      <c r="K943" t="s">
        <v>167</v>
      </c>
      <c r="L943">
        <v>5500000714</v>
      </c>
      <c r="M943" t="s">
        <v>682</v>
      </c>
    </row>
    <row r="944" spans="3:13">
      <c r="C944">
        <v>2100300025</v>
      </c>
      <c r="D944">
        <v>6426000</v>
      </c>
      <c r="E944" t="s">
        <v>188</v>
      </c>
      <c r="F944">
        <v>5105010115</v>
      </c>
      <c r="G944" s="13">
        <v>8402.83</v>
      </c>
      <c r="I944" t="s">
        <v>160</v>
      </c>
      <c r="J944" t="s">
        <v>591</v>
      </c>
      <c r="K944" t="s">
        <v>167</v>
      </c>
      <c r="L944">
        <v>5500000791</v>
      </c>
      <c r="M944" t="s">
        <v>683</v>
      </c>
    </row>
    <row r="945" spans="3:13">
      <c r="C945">
        <v>2100300025</v>
      </c>
      <c r="D945">
        <v>5826000</v>
      </c>
      <c r="E945" t="s">
        <v>188</v>
      </c>
      <c r="F945">
        <v>5105010117</v>
      </c>
      <c r="G945">
        <v>262.22000000000003</v>
      </c>
      <c r="I945" t="s">
        <v>160</v>
      </c>
      <c r="J945" t="s">
        <v>571</v>
      </c>
      <c r="K945" t="s">
        <v>168</v>
      </c>
      <c r="L945">
        <v>5500000036</v>
      </c>
      <c r="M945" t="s">
        <v>688</v>
      </c>
    </row>
    <row r="946" spans="3:13">
      <c r="C946">
        <v>2100300025</v>
      </c>
      <c r="D946">
        <v>5826000</v>
      </c>
      <c r="E946" t="s">
        <v>188</v>
      </c>
      <c r="F946">
        <v>5105010117</v>
      </c>
      <c r="G946">
        <v>133.26</v>
      </c>
      <c r="I946" t="s">
        <v>160</v>
      </c>
      <c r="J946" t="s">
        <v>573</v>
      </c>
      <c r="K946" t="s">
        <v>168</v>
      </c>
      <c r="L946">
        <v>5500000109</v>
      </c>
      <c r="M946" t="s">
        <v>689</v>
      </c>
    </row>
    <row r="947" spans="3:13">
      <c r="C947">
        <v>2100300025</v>
      </c>
      <c r="D947">
        <v>5826000</v>
      </c>
      <c r="E947" t="s">
        <v>188</v>
      </c>
      <c r="F947">
        <v>5105010117</v>
      </c>
      <c r="G947">
        <v>133.25</v>
      </c>
      <c r="I947" t="s">
        <v>160</v>
      </c>
      <c r="J947" t="s">
        <v>575</v>
      </c>
      <c r="K947" t="s">
        <v>168</v>
      </c>
      <c r="L947">
        <v>5500000183</v>
      </c>
      <c r="M947" t="s">
        <v>690</v>
      </c>
    </row>
    <row r="948" spans="3:13">
      <c r="C948">
        <v>2100300025</v>
      </c>
      <c r="D948">
        <v>5826000</v>
      </c>
      <c r="E948" t="s">
        <v>188</v>
      </c>
      <c r="F948">
        <v>5105010117</v>
      </c>
      <c r="G948">
        <v>120.36</v>
      </c>
      <c r="I948" t="s">
        <v>160</v>
      </c>
      <c r="J948" t="s">
        <v>577</v>
      </c>
      <c r="K948" t="s">
        <v>168</v>
      </c>
      <c r="L948">
        <v>5500000258</v>
      </c>
      <c r="M948" t="s">
        <v>691</v>
      </c>
    </row>
    <row r="949" spans="3:13">
      <c r="C949">
        <v>2100300025</v>
      </c>
      <c r="D949">
        <v>5826000</v>
      </c>
      <c r="E949" t="s">
        <v>188</v>
      </c>
      <c r="F949">
        <v>5105010117</v>
      </c>
      <c r="G949">
        <v>133.26</v>
      </c>
      <c r="I949" t="s">
        <v>160</v>
      </c>
      <c r="J949" t="s">
        <v>579</v>
      </c>
      <c r="K949" t="s">
        <v>168</v>
      </c>
      <c r="L949">
        <v>5500000333</v>
      </c>
      <c r="M949" t="s">
        <v>692</v>
      </c>
    </row>
    <row r="950" spans="3:13">
      <c r="C950">
        <v>2100300025</v>
      </c>
      <c r="D950">
        <v>5826000</v>
      </c>
      <c r="E950" t="s">
        <v>188</v>
      </c>
      <c r="F950">
        <v>5105010117</v>
      </c>
      <c r="G950">
        <v>128.96</v>
      </c>
      <c r="I950" t="s">
        <v>160</v>
      </c>
      <c r="J950" t="s">
        <v>581</v>
      </c>
      <c r="K950" t="s">
        <v>168</v>
      </c>
      <c r="L950">
        <v>5500000408</v>
      </c>
      <c r="M950" t="s">
        <v>693</v>
      </c>
    </row>
    <row r="951" spans="3:13">
      <c r="C951">
        <v>2100300025</v>
      </c>
      <c r="D951">
        <v>5826000</v>
      </c>
      <c r="E951" t="s">
        <v>188</v>
      </c>
      <c r="F951">
        <v>5105010117</v>
      </c>
      <c r="G951">
        <v>133.26</v>
      </c>
      <c r="I951" t="s">
        <v>160</v>
      </c>
      <c r="J951" t="s">
        <v>583</v>
      </c>
      <c r="K951" t="s">
        <v>168</v>
      </c>
      <c r="L951">
        <v>5500000484</v>
      </c>
      <c r="M951" t="s">
        <v>694</v>
      </c>
    </row>
    <row r="952" spans="3:13">
      <c r="C952">
        <v>2100300025</v>
      </c>
      <c r="D952">
        <v>5826000</v>
      </c>
      <c r="E952" t="s">
        <v>188</v>
      </c>
      <c r="F952">
        <v>5105010117</v>
      </c>
      <c r="G952">
        <v>128.94999999999999</v>
      </c>
      <c r="I952" t="s">
        <v>160</v>
      </c>
      <c r="J952" t="s">
        <v>585</v>
      </c>
      <c r="K952" t="s">
        <v>168</v>
      </c>
      <c r="L952">
        <v>5500000561</v>
      </c>
      <c r="M952" t="s">
        <v>695</v>
      </c>
    </row>
    <row r="953" spans="3:13">
      <c r="C953">
        <v>2100300025</v>
      </c>
      <c r="D953">
        <v>5826000</v>
      </c>
      <c r="E953" t="s">
        <v>188</v>
      </c>
      <c r="F953">
        <v>5105010117</v>
      </c>
      <c r="G953">
        <v>133.26</v>
      </c>
      <c r="I953" t="s">
        <v>160</v>
      </c>
      <c r="J953" t="s">
        <v>587</v>
      </c>
      <c r="K953" t="s">
        <v>168</v>
      </c>
      <c r="L953">
        <v>5500000638</v>
      </c>
      <c r="M953" t="s">
        <v>696</v>
      </c>
    </row>
    <row r="954" spans="3:13">
      <c r="C954">
        <v>2100300025</v>
      </c>
      <c r="D954">
        <v>5826000</v>
      </c>
      <c r="E954" t="s">
        <v>188</v>
      </c>
      <c r="F954">
        <v>5105010117</v>
      </c>
      <c r="G954">
        <v>133.27000000000001</v>
      </c>
      <c r="I954" t="s">
        <v>160</v>
      </c>
      <c r="J954" t="s">
        <v>589</v>
      </c>
      <c r="K954" t="s">
        <v>168</v>
      </c>
      <c r="L954">
        <v>5500000716</v>
      </c>
      <c r="M954" t="s">
        <v>697</v>
      </c>
    </row>
    <row r="955" spans="3:13">
      <c r="C955">
        <v>2100300025</v>
      </c>
      <c r="D955">
        <v>5826000</v>
      </c>
      <c r="E955" t="s">
        <v>188</v>
      </c>
      <c r="F955">
        <v>5105010117</v>
      </c>
      <c r="G955">
        <v>128.94999999999999</v>
      </c>
      <c r="I955" t="s">
        <v>160</v>
      </c>
      <c r="J955" t="s">
        <v>591</v>
      </c>
      <c r="K955" t="s">
        <v>168</v>
      </c>
      <c r="L955">
        <v>5500000793</v>
      </c>
      <c r="M955" t="s">
        <v>698</v>
      </c>
    </row>
    <row r="956" spans="3:13">
      <c r="C956">
        <v>2100300025</v>
      </c>
      <c r="D956">
        <v>5831000</v>
      </c>
      <c r="E956" t="s">
        <v>188</v>
      </c>
      <c r="F956">
        <v>5105010117</v>
      </c>
      <c r="G956">
        <v>7.13</v>
      </c>
      <c r="I956" t="s">
        <v>160</v>
      </c>
      <c r="J956" t="s">
        <v>571</v>
      </c>
      <c r="K956" t="s">
        <v>168</v>
      </c>
      <c r="L956">
        <v>5500000036</v>
      </c>
      <c r="M956" t="s">
        <v>688</v>
      </c>
    </row>
    <row r="957" spans="3:13">
      <c r="C957">
        <v>2100300025</v>
      </c>
      <c r="D957">
        <v>5831000</v>
      </c>
      <c r="E957" t="s">
        <v>188</v>
      </c>
      <c r="F957">
        <v>5105010117</v>
      </c>
      <c r="G957">
        <v>3.62</v>
      </c>
      <c r="I957" t="s">
        <v>160</v>
      </c>
      <c r="J957" t="s">
        <v>573</v>
      </c>
      <c r="K957" t="s">
        <v>168</v>
      </c>
      <c r="L957">
        <v>5500000109</v>
      </c>
      <c r="M957" t="s">
        <v>689</v>
      </c>
    </row>
    <row r="958" spans="3:13">
      <c r="C958">
        <v>2100300025</v>
      </c>
      <c r="D958">
        <v>5831000</v>
      </c>
      <c r="E958" t="s">
        <v>188</v>
      </c>
      <c r="F958">
        <v>5105010117</v>
      </c>
      <c r="G958">
        <v>3.62</v>
      </c>
      <c r="I958" t="s">
        <v>160</v>
      </c>
      <c r="J958" t="s">
        <v>575</v>
      </c>
      <c r="K958" t="s">
        <v>168</v>
      </c>
      <c r="L958">
        <v>5500000183</v>
      </c>
      <c r="M958" t="s">
        <v>690</v>
      </c>
    </row>
    <row r="959" spans="3:13">
      <c r="C959">
        <v>2100300025</v>
      </c>
      <c r="D959">
        <v>5831000</v>
      </c>
      <c r="E959" t="s">
        <v>188</v>
      </c>
      <c r="F959">
        <v>5105010117</v>
      </c>
      <c r="G959">
        <v>3.27</v>
      </c>
      <c r="I959" t="s">
        <v>160</v>
      </c>
      <c r="J959" t="s">
        <v>577</v>
      </c>
      <c r="K959" t="s">
        <v>168</v>
      </c>
      <c r="L959">
        <v>5500000258</v>
      </c>
      <c r="M959" t="s">
        <v>691</v>
      </c>
    </row>
    <row r="960" spans="3:13">
      <c r="C960">
        <v>2100300025</v>
      </c>
      <c r="D960">
        <v>5831000</v>
      </c>
      <c r="E960" t="s">
        <v>188</v>
      </c>
      <c r="F960">
        <v>5105010117</v>
      </c>
      <c r="G960">
        <v>3.63</v>
      </c>
      <c r="I960" t="s">
        <v>160</v>
      </c>
      <c r="J960" t="s">
        <v>579</v>
      </c>
      <c r="K960" t="s">
        <v>168</v>
      </c>
      <c r="L960">
        <v>5500000333</v>
      </c>
      <c r="M960" t="s">
        <v>692</v>
      </c>
    </row>
    <row r="961" spans="3:13">
      <c r="C961">
        <v>2100300025</v>
      </c>
      <c r="D961">
        <v>5831000</v>
      </c>
      <c r="E961" t="s">
        <v>188</v>
      </c>
      <c r="F961">
        <v>5105010117</v>
      </c>
      <c r="G961">
        <v>3.5</v>
      </c>
      <c r="I961" t="s">
        <v>160</v>
      </c>
      <c r="J961" t="s">
        <v>581</v>
      </c>
      <c r="K961" t="s">
        <v>168</v>
      </c>
      <c r="L961">
        <v>5500000408</v>
      </c>
      <c r="M961" t="s">
        <v>693</v>
      </c>
    </row>
    <row r="962" spans="3:13">
      <c r="C962">
        <v>2100300025</v>
      </c>
      <c r="D962">
        <v>5831000</v>
      </c>
      <c r="E962" t="s">
        <v>188</v>
      </c>
      <c r="F962">
        <v>5105010117</v>
      </c>
      <c r="G962">
        <v>3.62</v>
      </c>
      <c r="I962" t="s">
        <v>160</v>
      </c>
      <c r="J962" t="s">
        <v>583</v>
      </c>
      <c r="K962" t="s">
        <v>168</v>
      </c>
      <c r="L962">
        <v>5500000484</v>
      </c>
      <c r="M962" t="s">
        <v>694</v>
      </c>
    </row>
    <row r="963" spans="3:13">
      <c r="C963">
        <v>2100300025</v>
      </c>
      <c r="D963">
        <v>5831000</v>
      </c>
      <c r="E963" t="s">
        <v>188</v>
      </c>
      <c r="F963">
        <v>5105010117</v>
      </c>
      <c r="G963">
        <v>3.51</v>
      </c>
      <c r="I963" t="s">
        <v>160</v>
      </c>
      <c r="J963" t="s">
        <v>585</v>
      </c>
      <c r="K963" t="s">
        <v>168</v>
      </c>
      <c r="L963">
        <v>5500000561</v>
      </c>
      <c r="M963" t="s">
        <v>695</v>
      </c>
    </row>
    <row r="964" spans="3:13">
      <c r="C964">
        <v>2100300025</v>
      </c>
      <c r="D964">
        <v>5831000</v>
      </c>
      <c r="E964" t="s">
        <v>188</v>
      </c>
      <c r="F964">
        <v>5105010117</v>
      </c>
      <c r="G964">
        <v>3.62</v>
      </c>
      <c r="I964" t="s">
        <v>160</v>
      </c>
      <c r="J964" t="s">
        <v>587</v>
      </c>
      <c r="K964" t="s">
        <v>168</v>
      </c>
      <c r="L964">
        <v>5500000638</v>
      </c>
      <c r="M964" t="s">
        <v>696</v>
      </c>
    </row>
    <row r="965" spans="3:13">
      <c r="C965">
        <v>2100300025</v>
      </c>
      <c r="D965">
        <v>5831000</v>
      </c>
      <c r="E965" t="s">
        <v>188</v>
      </c>
      <c r="F965">
        <v>5105010117</v>
      </c>
      <c r="G965">
        <v>3.62</v>
      </c>
      <c r="I965" t="s">
        <v>160</v>
      </c>
      <c r="J965" t="s">
        <v>589</v>
      </c>
      <c r="K965" t="s">
        <v>168</v>
      </c>
      <c r="L965">
        <v>5500000716</v>
      </c>
      <c r="M965" t="s">
        <v>697</v>
      </c>
    </row>
    <row r="966" spans="3:13">
      <c r="C966">
        <v>2100300025</v>
      </c>
      <c r="D966">
        <v>5831000</v>
      </c>
      <c r="E966" t="s">
        <v>188</v>
      </c>
      <c r="F966">
        <v>5105010117</v>
      </c>
      <c r="G966">
        <v>3.51</v>
      </c>
      <c r="I966" t="s">
        <v>160</v>
      </c>
      <c r="J966" t="s">
        <v>591</v>
      </c>
      <c r="K966" t="s">
        <v>168</v>
      </c>
      <c r="L966">
        <v>5500000793</v>
      </c>
      <c r="M966" t="s">
        <v>698</v>
      </c>
    </row>
    <row r="967" spans="3:13">
      <c r="C967">
        <v>2100300025</v>
      </c>
      <c r="D967">
        <v>6226000</v>
      </c>
      <c r="E967" t="s">
        <v>188</v>
      </c>
      <c r="F967">
        <v>5105010117</v>
      </c>
      <c r="G967" s="13">
        <v>7387.85</v>
      </c>
      <c r="I967" t="s">
        <v>160</v>
      </c>
      <c r="J967" t="s">
        <v>571</v>
      </c>
      <c r="K967" t="s">
        <v>168</v>
      </c>
      <c r="L967">
        <v>5500000036</v>
      </c>
      <c r="M967" t="s">
        <v>688</v>
      </c>
    </row>
    <row r="968" spans="3:13">
      <c r="C968">
        <v>2100300025</v>
      </c>
      <c r="D968">
        <v>6226000</v>
      </c>
      <c r="E968" t="s">
        <v>188</v>
      </c>
      <c r="F968">
        <v>5105010117</v>
      </c>
      <c r="G968" s="13">
        <v>3754.48</v>
      </c>
      <c r="I968" t="s">
        <v>160</v>
      </c>
      <c r="J968" t="s">
        <v>573</v>
      </c>
      <c r="K968" t="s">
        <v>168</v>
      </c>
      <c r="L968">
        <v>5500000110</v>
      </c>
      <c r="M968" t="s">
        <v>699</v>
      </c>
    </row>
    <row r="969" spans="3:13">
      <c r="C969">
        <v>2100300025</v>
      </c>
      <c r="D969">
        <v>6226000</v>
      </c>
      <c r="E969" t="s">
        <v>188</v>
      </c>
      <c r="F969">
        <v>5105010117</v>
      </c>
      <c r="G969" s="13">
        <v>3754.49</v>
      </c>
      <c r="I969" t="s">
        <v>160</v>
      </c>
      <c r="J969" t="s">
        <v>575</v>
      </c>
      <c r="K969" t="s">
        <v>168</v>
      </c>
      <c r="L969">
        <v>5500000183</v>
      </c>
      <c r="M969" t="s">
        <v>690</v>
      </c>
    </row>
    <row r="970" spans="3:13">
      <c r="C970">
        <v>2100300025</v>
      </c>
      <c r="D970">
        <v>6226000</v>
      </c>
      <c r="E970" t="s">
        <v>188</v>
      </c>
      <c r="F970">
        <v>5105010117</v>
      </c>
      <c r="G970" s="13">
        <v>3391.13</v>
      </c>
      <c r="I970" t="s">
        <v>160</v>
      </c>
      <c r="J970" t="s">
        <v>577</v>
      </c>
      <c r="K970" t="s">
        <v>168</v>
      </c>
      <c r="L970">
        <v>5500000258</v>
      </c>
      <c r="M970" t="s">
        <v>691</v>
      </c>
    </row>
    <row r="971" spans="3:13">
      <c r="C971">
        <v>2100300025</v>
      </c>
      <c r="D971">
        <v>6226000</v>
      </c>
      <c r="E971" t="s">
        <v>188</v>
      </c>
      <c r="F971">
        <v>5105010117</v>
      </c>
      <c r="G971" s="13">
        <v>3754.49</v>
      </c>
      <c r="I971" t="s">
        <v>160</v>
      </c>
      <c r="J971" t="s">
        <v>579</v>
      </c>
      <c r="K971" t="s">
        <v>168</v>
      </c>
      <c r="L971">
        <v>5500000333</v>
      </c>
      <c r="M971" t="s">
        <v>692</v>
      </c>
    </row>
    <row r="972" spans="3:13">
      <c r="C972">
        <v>2100300025</v>
      </c>
      <c r="D972">
        <v>6226000</v>
      </c>
      <c r="E972" t="s">
        <v>188</v>
      </c>
      <c r="F972">
        <v>5105010117</v>
      </c>
      <c r="G972" s="13">
        <v>3633.38</v>
      </c>
      <c r="I972" t="s">
        <v>160</v>
      </c>
      <c r="J972" t="s">
        <v>581</v>
      </c>
      <c r="K972" t="s">
        <v>168</v>
      </c>
      <c r="L972">
        <v>5500000408</v>
      </c>
      <c r="M972" t="s">
        <v>693</v>
      </c>
    </row>
    <row r="973" spans="3:13">
      <c r="C973">
        <v>2100300025</v>
      </c>
      <c r="D973">
        <v>6226000</v>
      </c>
      <c r="E973" t="s">
        <v>188</v>
      </c>
      <c r="F973">
        <v>5105010117</v>
      </c>
      <c r="G973" s="13">
        <v>3648.37</v>
      </c>
      <c r="I973" t="s">
        <v>160</v>
      </c>
      <c r="J973" t="s">
        <v>583</v>
      </c>
      <c r="K973" t="s">
        <v>168</v>
      </c>
      <c r="L973">
        <v>5500000484</v>
      </c>
      <c r="M973" t="s">
        <v>694</v>
      </c>
    </row>
    <row r="974" spans="3:13">
      <c r="C974">
        <v>2100300025</v>
      </c>
      <c r="D974">
        <v>6226000</v>
      </c>
      <c r="E974" t="s">
        <v>188</v>
      </c>
      <c r="F974">
        <v>5105010117</v>
      </c>
      <c r="G974">
        <v>510.08</v>
      </c>
      <c r="I974" t="s">
        <v>160</v>
      </c>
      <c r="J974" t="s">
        <v>585</v>
      </c>
      <c r="K974" t="s">
        <v>168</v>
      </c>
      <c r="L974">
        <v>5500000561</v>
      </c>
      <c r="M974" t="s">
        <v>695</v>
      </c>
    </row>
    <row r="975" spans="3:13">
      <c r="C975">
        <v>2100300025</v>
      </c>
      <c r="D975">
        <v>6226000</v>
      </c>
      <c r="E975" t="s">
        <v>188</v>
      </c>
      <c r="F975">
        <v>5105010117</v>
      </c>
      <c r="G975">
        <v>527.08000000000004</v>
      </c>
      <c r="I975" t="s">
        <v>160</v>
      </c>
      <c r="J975" t="s">
        <v>587</v>
      </c>
      <c r="K975" t="s">
        <v>168</v>
      </c>
      <c r="L975">
        <v>5500000638</v>
      </c>
      <c r="M975" t="s">
        <v>696</v>
      </c>
    </row>
    <row r="976" spans="3:13">
      <c r="C976">
        <v>2100300025</v>
      </c>
      <c r="D976">
        <v>6226000</v>
      </c>
      <c r="E976" t="s">
        <v>188</v>
      </c>
      <c r="F976">
        <v>5105010117</v>
      </c>
      <c r="G976">
        <v>527.09</v>
      </c>
      <c r="I976" t="s">
        <v>160</v>
      </c>
      <c r="J976" t="s">
        <v>589</v>
      </c>
      <c r="K976" t="s">
        <v>168</v>
      </c>
      <c r="L976">
        <v>5500000716</v>
      </c>
      <c r="M976" t="s">
        <v>697</v>
      </c>
    </row>
    <row r="977" spans="3:13">
      <c r="C977">
        <v>2100300025</v>
      </c>
      <c r="D977">
        <v>6226000</v>
      </c>
      <c r="E977" t="s">
        <v>188</v>
      </c>
      <c r="F977">
        <v>5105010117</v>
      </c>
      <c r="G977">
        <v>220.03</v>
      </c>
      <c r="I977" t="s">
        <v>160</v>
      </c>
      <c r="J977" t="s">
        <v>591</v>
      </c>
      <c r="K977" t="s">
        <v>168</v>
      </c>
      <c r="L977">
        <v>5500000793</v>
      </c>
      <c r="M977" t="s">
        <v>698</v>
      </c>
    </row>
    <row r="978" spans="3:13">
      <c r="C978">
        <v>2100300025</v>
      </c>
      <c r="D978">
        <v>6326000</v>
      </c>
      <c r="E978" t="s">
        <v>188</v>
      </c>
      <c r="F978">
        <v>5105010117</v>
      </c>
      <c r="G978" s="13">
        <v>2298.87</v>
      </c>
      <c r="I978" t="s">
        <v>160</v>
      </c>
      <c r="J978" t="s">
        <v>571</v>
      </c>
      <c r="K978" t="s">
        <v>168</v>
      </c>
      <c r="L978">
        <v>5500000036</v>
      </c>
      <c r="M978" t="s">
        <v>688</v>
      </c>
    </row>
    <row r="979" spans="3:13">
      <c r="C979">
        <v>2100300025</v>
      </c>
      <c r="D979">
        <v>6326000</v>
      </c>
      <c r="E979" t="s">
        <v>188</v>
      </c>
      <c r="F979">
        <v>5105010117</v>
      </c>
      <c r="G979" s="13">
        <v>1168.27</v>
      </c>
      <c r="I979" t="s">
        <v>160</v>
      </c>
      <c r="J979" t="s">
        <v>573</v>
      </c>
      <c r="K979" t="s">
        <v>168</v>
      </c>
      <c r="L979">
        <v>5500000110</v>
      </c>
      <c r="M979" t="s">
        <v>699</v>
      </c>
    </row>
    <row r="980" spans="3:13">
      <c r="C980">
        <v>2100300025</v>
      </c>
      <c r="D980">
        <v>6326000</v>
      </c>
      <c r="E980" t="s">
        <v>188</v>
      </c>
      <c r="F980">
        <v>5105010117</v>
      </c>
      <c r="G980" s="13">
        <v>1168.28</v>
      </c>
      <c r="I980" t="s">
        <v>160</v>
      </c>
      <c r="J980" t="s">
        <v>575</v>
      </c>
      <c r="K980" t="s">
        <v>168</v>
      </c>
      <c r="L980">
        <v>5500000183</v>
      </c>
      <c r="M980" t="s">
        <v>690</v>
      </c>
    </row>
    <row r="981" spans="3:13">
      <c r="C981">
        <v>2100300025</v>
      </c>
      <c r="D981">
        <v>6326000</v>
      </c>
      <c r="E981" t="s">
        <v>188</v>
      </c>
      <c r="F981">
        <v>5105010117</v>
      </c>
      <c r="G981" s="13">
        <v>1055.21</v>
      </c>
      <c r="I981" t="s">
        <v>160</v>
      </c>
      <c r="J981" t="s">
        <v>577</v>
      </c>
      <c r="K981" t="s">
        <v>168</v>
      </c>
      <c r="L981">
        <v>5500000258</v>
      </c>
      <c r="M981" t="s">
        <v>691</v>
      </c>
    </row>
    <row r="982" spans="3:13">
      <c r="C982">
        <v>2100300025</v>
      </c>
      <c r="D982">
        <v>6326000</v>
      </c>
      <c r="E982" t="s">
        <v>188</v>
      </c>
      <c r="F982">
        <v>5105010117</v>
      </c>
      <c r="G982" s="13">
        <v>1168.28</v>
      </c>
      <c r="I982" t="s">
        <v>160</v>
      </c>
      <c r="J982" t="s">
        <v>579</v>
      </c>
      <c r="K982" t="s">
        <v>168</v>
      </c>
      <c r="L982">
        <v>5500000333</v>
      </c>
      <c r="M982" t="s">
        <v>692</v>
      </c>
    </row>
    <row r="983" spans="3:13">
      <c r="C983">
        <v>2100300025</v>
      </c>
      <c r="D983">
        <v>6326000</v>
      </c>
      <c r="E983" t="s">
        <v>188</v>
      </c>
      <c r="F983">
        <v>5105010117</v>
      </c>
      <c r="G983" s="13">
        <v>1130.5899999999999</v>
      </c>
      <c r="I983" t="s">
        <v>160</v>
      </c>
      <c r="J983" t="s">
        <v>581</v>
      </c>
      <c r="K983" t="s">
        <v>168</v>
      </c>
      <c r="L983">
        <v>5500000408</v>
      </c>
      <c r="M983" t="s">
        <v>693</v>
      </c>
    </row>
    <row r="984" spans="3:13">
      <c r="C984">
        <v>2100300025</v>
      </c>
      <c r="D984">
        <v>6326000</v>
      </c>
      <c r="E984" t="s">
        <v>188</v>
      </c>
      <c r="F984">
        <v>5105010117</v>
      </c>
      <c r="G984" s="13">
        <v>1168.28</v>
      </c>
      <c r="I984" t="s">
        <v>160</v>
      </c>
      <c r="J984" t="s">
        <v>583</v>
      </c>
      <c r="K984" t="s">
        <v>168</v>
      </c>
      <c r="L984">
        <v>5500000484</v>
      </c>
      <c r="M984" t="s">
        <v>694</v>
      </c>
    </row>
    <row r="985" spans="3:13">
      <c r="C985">
        <v>2100300025</v>
      </c>
      <c r="D985">
        <v>6326000</v>
      </c>
      <c r="E985" t="s">
        <v>188</v>
      </c>
      <c r="F985">
        <v>5105010117</v>
      </c>
      <c r="G985" s="13">
        <v>1130.5899999999999</v>
      </c>
      <c r="I985" t="s">
        <v>160</v>
      </c>
      <c r="J985" t="s">
        <v>585</v>
      </c>
      <c r="K985" t="s">
        <v>168</v>
      </c>
      <c r="L985">
        <v>5500000561</v>
      </c>
      <c r="M985" t="s">
        <v>695</v>
      </c>
    </row>
    <row r="986" spans="3:13">
      <c r="C986">
        <v>2100300025</v>
      </c>
      <c r="D986">
        <v>6326000</v>
      </c>
      <c r="E986" t="s">
        <v>188</v>
      </c>
      <c r="F986">
        <v>5105010117</v>
      </c>
      <c r="G986" s="13">
        <v>1168.27</v>
      </c>
      <c r="I986" t="s">
        <v>160</v>
      </c>
      <c r="J986" t="s">
        <v>587</v>
      </c>
      <c r="K986" t="s">
        <v>168</v>
      </c>
      <c r="L986">
        <v>5500000638</v>
      </c>
      <c r="M986" t="s">
        <v>696</v>
      </c>
    </row>
    <row r="987" spans="3:13">
      <c r="C987">
        <v>2100300025</v>
      </c>
      <c r="D987">
        <v>6326000</v>
      </c>
      <c r="E987" t="s">
        <v>188</v>
      </c>
      <c r="F987">
        <v>5105010117</v>
      </c>
      <c r="G987" s="13">
        <v>1168.28</v>
      </c>
      <c r="I987" t="s">
        <v>160</v>
      </c>
      <c r="J987" t="s">
        <v>589</v>
      </c>
      <c r="K987" t="s">
        <v>168</v>
      </c>
      <c r="L987">
        <v>5500000716</v>
      </c>
      <c r="M987" t="s">
        <v>697</v>
      </c>
    </row>
    <row r="988" spans="3:13">
      <c r="C988">
        <v>2100300025</v>
      </c>
      <c r="D988">
        <v>6326000</v>
      </c>
      <c r="E988" t="s">
        <v>188</v>
      </c>
      <c r="F988">
        <v>5105010117</v>
      </c>
      <c r="G988" s="13">
        <v>1130.5899999999999</v>
      </c>
      <c r="I988" t="s">
        <v>160</v>
      </c>
      <c r="J988" t="s">
        <v>591</v>
      </c>
      <c r="K988" t="s">
        <v>168</v>
      </c>
      <c r="L988">
        <v>5500000793</v>
      </c>
      <c r="M988" t="s">
        <v>698</v>
      </c>
    </row>
    <row r="989" spans="3:13">
      <c r="C989">
        <v>2100300025</v>
      </c>
      <c r="D989">
        <v>6426000</v>
      </c>
      <c r="E989" t="s">
        <v>188</v>
      </c>
      <c r="F989">
        <v>5105010117</v>
      </c>
      <c r="G989" s="13">
        <v>1126.43</v>
      </c>
      <c r="I989" t="s">
        <v>160</v>
      </c>
      <c r="J989" t="s">
        <v>583</v>
      </c>
      <c r="K989" t="s">
        <v>168</v>
      </c>
      <c r="L989">
        <v>5500000484</v>
      </c>
      <c r="M989" t="s">
        <v>694</v>
      </c>
    </row>
    <row r="990" spans="3:13">
      <c r="C990">
        <v>2100300025</v>
      </c>
      <c r="D990">
        <v>6426000</v>
      </c>
      <c r="E990" t="s">
        <v>188</v>
      </c>
      <c r="F990">
        <v>5105010117</v>
      </c>
      <c r="G990" s="13">
        <v>1165.28</v>
      </c>
      <c r="I990" t="s">
        <v>160</v>
      </c>
      <c r="J990" t="s">
        <v>585</v>
      </c>
      <c r="K990" t="s">
        <v>168</v>
      </c>
      <c r="L990">
        <v>5500000561</v>
      </c>
      <c r="M990" t="s">
        <v>695</v>
      </c>
    </row>
    <row r="991" spans="3:13">
      <c r="C991">
        <v>2100300025</v>
      </c>
      <c r="D991">
        <v>6426000</v>
      </c>
      <c r="E991" t="s">
        <v>188</v>
      </c>
      <c r="F991">
        <v>5105010117</v>
      </c>
      <c r="G991" s="13">
        <v>1204.1099999999999</v>
      </c>
      <c r="I991" t="s">
        <v>160</v>
      </c>
      <c r="J991" t="s">
        <v>587</v>
      </c>
      <c r="K991" t="s">
        <v>168</v>
      </c>
      <c r="L991">
        <v>5500000638</v>
      </c>
      <c r="M991" t="s">
        <v>696</v>
      </c>
    </row>
    <row r="992" spans="3:13">
      <c r="C992">
        <v>2100300025</v>
      </c>
      <c r="D992">
        <v>6426000</v>
      </c>
      <c r="E992" t="s">
        <v>188</v>
      </c>
      <c r="F992">
        <v>5105010117</v>
      </c>
      <c r="G992" s="13">
        <v>1204.1199999999999</v>
      </c>
      <c r="I992" t="s">
        <v>160</v>
      </c>
      <c r="J992" t="s">
        <v>589</v>
      </c>
      <c r="K992" t="s">
        <v>168</v>
      </c>
      <c r="L992">
        <v>5500000716</v>
      </c>
      <c r="M992" t="s">
        <v>697</v>
      </c>
    </row>
    <row r="993" spans="3:13">
      <c r="C993">
        <v>2100300025</v>
      </c>
      <c r="D993">
        <v>6426000</v>
      </c>
      <c r="E993" t="s">
        <v>188</v>
      </c>
      <c r="F993">
        <v>5105010117</v>
      </c>
      <c r="G993" s="13">
        <v>1165.27</v>
      </c>
      <c r="I993" t="s">
        <v>160</v>
      </c>
      <c r="J993" t="s">
        <v>591</v>
      </c>
      <c r="K993" t="s">
        <v>168</v>
      </c>
      <c r="L993">
        <v>5500000793</v>
      </c>
      <c r="M993" t="s">
        <v>698</v>
      </c>
    </row>
    <row r="994" spans="3:13">
      <c r="C994">
        <v>2100300025</v>
      </c>
      <c r="D994">
        <v>6226000</v>
      </c>
      <c r="E994" t="s">
        <v>188</v>
      </c>
      <c r="F994">
        <v>5105010119</v>
      </c>
      <c r="G994">
        <v>960.96</v>
      </c>
      <c r="I994" t="s">
        <v>160</v>
      </c>
      <c r="J994" t="s">
        <v>571</v>
      </c>
      <c r="K994" t="s">
        <v>169</v>
      </c>
      <c r="L994">
        <v>5500000037</v>
      </c>
      <c r="M994" t="s">
        <v>700</v>
      </c>
    </row>
    <row r="995" spans="3:13">
      <c r="C995">
        <v>2100300025</v>
      </c>
      <c r="D995">
        <v>6226000</v>
      </c>
      <c r="E995" t="s">
        <v>188</v>
      </c>
      <c r="F995">
        <v>5105010119</v>
      </c>
      <c r="G995">
        <v>188.04</v>
      </c>
      <c r="I995" t="s">
        <v>160</v>
      </c>
      <c r="J995" t="s">
        <v>573</v>
      </c>
      <c r="K995" t="s">
        <v>169</v>
      </c>
      <c r="L995">
        <v>5500000110</v>
      </c>
      <c r="M995" t="s">
        <v>699</v>
      </c>
    </row>
    <row r="996" spans="3:13">
      <c r="C996">
        <v>2100300025</v>
      </c>
      <c r="D996">
        <v>5826000</v>
      </c>
      <c r="E996" t="s">
        <v>188</v>
      </c>
      <c r="F996">
        <v>5105010121</v>
      </c>
      <c r="G996">
        <v>136.21</v>
      </c>
      <c r="I996" t="s">
        <v>160</v>
      </c>
      <c r="J996" t="s">
        <v>571</v>
      </c>
      <c r="K996" t="s">
        <v>493</v>
      </c>
      <c r="L996">
        <v>5500000038</v>
      </c>
      <c r="M996" t="s">
        <v>701</v>
      </c>
    </row>
    <row r="997" spans="3:13">
      <c r="C997">
        <v>2100300025</v>
      </c>
      <c r="D997">
        <v>5826000</v>
      </c>
      <c r="E997" t="s">
        <v>188</v>
      </c>
      <c r="F997">
        <v>5105010121</v>
      </c>
      <c r="G997">
        <v>69.209999999999994</v>
      </c>
      <c r="I997" t="s">
        <v>160</v>
      </c>
      <c r="J997" t="s">
        <v>573</v>
      </c>
      <c r="K997" t="s">
        <v>493</v>
      </c>
      <c r="L997">
        <v>5500000111</v>
      </c>
      <c r="M997" t="s">
        <v>702</v>
      </c>
    </row>
    <row r="998" spans="3:13">
      <c r="C998">
        <v>2100300025</v>
      </c>
      <c r="D998">
        <v>5826000</v>
      </c>
      <c r="E998" t="s">
        <v>188</v>
      </c>
      <c r="F998">
        <v>5105010121</v>
      </c>
      <c r="G998">
        <v>69.22</v>
      </c>
      <c r="I998" t="s">
        <v>160</v>
      </c>
      <c r="J998" t="s">
        <v>575</v>
      </c>
      <c r="K998" t="s">
        <v>493</v>
      </c>
      <c r="L998">
        <v>5500000184</v>
      </c>
      <c r="M998" t="s">
        <v>703</v>
      </c>
    </row>
    <row r="999" spans="3:13">
      <c r="C999">
        <v>2100300025</v>
      </c>
      <c r="D999">
        <v>5826000</v>
      </c>
      <c r="E999" t="s">
        <v>188</v>
      </c>
      <c r="F999">
        <v>5105010121</v>
      </c>
      <c r="G999">
        <v>62.52</v>
      </c>
      <c r="I999" t="s">
        <v>160</v>
      </c>
      <c r="J999" t="s">
        <v>577</v>
      </c>
      <c r="K999" t="s">
        <v>493</v>
      </c>
      <c r="L999">
        <v>5500000259</v>
      </c>
      <c r="M999" t="s">
        <v>704</v>
      </c>
    </row>
    <row r="1000" spans="3:13">
      <c r="C1000">
        <v>2100300025</v>
      </c>
      <c r="D1000">
        <v>5826000</v>
      </c>
      <c r="E1000" t="s">
        <v>188</v>
      </c>
      <c r="F1000">
        <v>5105010121</v>
      </c>
      <c r="G1000">
        <v>69.22</v>
      </c>
      <c r="I1000" t="s">
        <v>160</v>
      </c>
      <c r="J1000" t="s">
        <v>579</v>
      </c>
      <c r="K1000" t="s">
        <v>493</v>
      </c>
      <c r="L1000">
        <v>5500000334</v>
      </c>
      <c r="M1000" t="s">
        <v>705</v>
      </c>
    </row>
    <row r="1001" spans="3:13">
      <c r="C1001">
        <v>2100300025</v>
      </c>
      <c r="D1001">
        <v>5826000</v>
      </c>
      <c r="E1001" t="s">
        <v>188</v>
      </c>
      <c r="F1001">
        <v>5105010121</v>
      </c>
      <c r="G1001">
        <v>66.989999999999995</v>
      </c>
      <c r="I1001" t="s">
        <v>160</v>
      </c>
      <c r="J1001" t="s">
        <v>581</v>
      </c>
      <c r="K1001" t="s">
        <v>493</v>
      </c>
      <c r="L1001">
        <v>5500000410</v>
      </c>
      <c r="M1001" t="s">
        <v>706</v>
      </c>
    </row>
    <row r="1002" spans="3:13">
      <c r="C1002">
        <v>2100300025</v>
      </c>
      <c r="D1002">
        <v>5826000</v>
      </c>
      <c r="E1002" t="s">
        <v>188</v>
      </c>
      <c r="F1002">
        <v>5105010121</v>
      </c>
      <c r="G1002">
        <v>69.22</v>
      </c>
      <c r="I1002" t="s">
        <v>160</v>
      </c>
      <c r="J1002" t="s">
        <v>583</v>
      </c>
      <c r="K1002" t="s">
        <v>493</v>
      </c>
      <c r="L1002">
        <v>5500000486</v>
      </c>
      <c r="M1002" t="s">
        <v>707</v>
      </c>
    </row>
    <row r="1003" spans="3:13">
      <c r="C1003">
        <v>2100300025</v>
      </c>
      <c r="D1003">
        <v>5826000</v>
      </c>
      <c r="E1003" t="s">
        <v>188</v>
      </c>
      <c r="F1003">
        <v>5105010121</v>
      </c>
      <c r="G1003">
        <v>66.989999999999995</v>
      </c>
      <c r="I1003" t="s">
        <v>160</v>
      </c>
      <c r="J1003" t="s">
        <v>585</v>
      </c>
      <c r="K1003" t="s">
        <v>493</v>
      </c>
      <c r="L1003">
        <v>5500000563</v>
      </c>
      <c r="M1003" t="s">
        <v>708</v>
      </c>
    </row>
    <row r="1004" spans="3:13">
      <c r="C1004">
        <v>2100300025</v>
      </c>
      <c r="D1004">
        <v>5826000</v>
      </c>
      <c r="E1004" t="s">
        <v>188</v>
      </c>
      <c r="F1004">
        <v>5105010121</v>
      </c>
      <c r="G1004">
        <v>69.209999999999994</v>
      </c>
      <c r="I1004" t="s">
        <v>160</v>
      </c>
      <c r="J1004" t="s">
        <v>587</v>
      </c>
      <c r="K1004" t="s">
        <v>493</v>
      </c>
      <c r="L1004">
        <v>5500000640</v>
      </c>
      <c r="M1004" t="s">
        <v>709</v>
      </c>
    </row>
    <row r="1005" spans="3:13">
      <c r="C1005">
        <v>2100300025</v>
      </c>
      <c r="D1005">
        <v>5826000</v>
      </c>
      <c r="E1005" t="s">
        <v>188</v>
      </c>
      <c r="F1005">
        <v>5105010121</v>
      </c>
      <c r="G1005">
        <v>69.22</v>
      </c>
      <c r="I1005" t="s">
        <v>160</v>
      </c>
      <c r="J1005" t="s">
        <v>589</v>
      </c>
      <c r="K1005" t="s">
        <v>493</v>
      </c>
      <c r="L1005">
        <v>5500000717</v>
      </c>
      <c r="M1005" t="s">
        <v>710</v>
      </c>
    </row>
    <row r="1006" spans="3:13">
      <c r="C1006">
        <v>2100300025</v>
      </c>
      <c r="D1006">
        <v>5826000</v>
      </c>
      <c r="E1006" t="s">
        <v>188</v>
      </c>
      <c r="F1006">
        <v>5105010121</v>
      </c>
      <c r="G1006">
        <v>66.989999999999995</v>
      </c>
      <c r="I1006" t="s">
        <v>160</v>
      </c>
      <c r="J1006" t="s">
        <v>591</v>
      </c>
      <c r="K1006" t="s">
        <v>493</v>
      </c>
      <c r="L1006">
        <v>5500000794</v>
      </c>
      <c r="M1006" t="s">
        <v>711</v>
      </c>
    </row>
    <row r="1007" spans="3:13">
      <c r="C1007">
        <v>2100300025</v>
      </c>
      <c r="D1007">
        <v>5626000</v>
      </c>
      <c r="E1007" t="s">
        <v>188</v>
      </c>
      <c r="F1007">
        <v>5105010125</v>
      </c>
      <c r="G1007" s="13">
        <v>175493.14</v>
      </c>
      <c r="I1007" t="s">
        <v>160</v>
      </c>
      <c r="J1007" t="s">
        <v>571</v>
      </c>
      <c r="K1007" t="s">
        <v>170</v>
      </c>
      <c r="L1007">
        <v>5500000056</v>
      </c>
      <c r="M1007" t="s">
        <v>712</v>
      </c>
    </row>
    <row r="1008" spans="3:13">
      <c r="C1008">
        <v>2100300025</v>
      </c>
      <c r="D1008">
        <v>5626000</v>
      </c>
      <c r="E1008" t="s">
        <v>188</v>
      </c>
      <c r="F1008">
        <v>5105010125</v>
      </c>
      <c r="G1008" s="13">
        <v>75066.75</v>
      </c>
      <c r="I1008" t="s">
        <v>160</v>
      </c>
      <c r="J1008" t="s">
        <v>573</v>
      </c>
      <c r="K1008" t="s">
        <v>170</v>
      </c>
      <c r="L1008">
        <v>5500000129</v>
      </c>
      <c r="M1008" t="s">
        <v>713</v>
      </c>
    </row>
    <row r="1009" spans="3:13">
      <c r="C1009">
        <v>2100300025</v>
      </c>
      <c r="D1009">
        <v>5626000</v>
      </c>
      <c r="E1009" t="s">
        <v>188</v>
      </c>
      <c r="F1009">
        <v>5105010125</v>
      </c>
      <c r="G1009" s="13">
        <v>74950.27</v>
      </c>
      <c r="I1009" t="s">
        <v>160</v>
      </c>
      <c r="J1009" t="s">
        <v>575</v>
      </c>
      <c r="K1009" t="s">
        <v>170</v>
      </c>
      <c r="L1009">
        <v>5500000203</v>
      </c>
      <c r="M1009" t="s">
        <v>714</v>
      </c>
    </row>
    <row r="1010" spans="3:13">
      <c r="C1010">
        <v>2100300025</v>
      </c>
      <c r="D1010">
        <v>5626000</v>
      </c>
      <c r="E1010" t="s">
        <v>188</v>
      </c>
      <c r="F1010">
        <v>5105010125</v>
      </c>
      <c r="G1010" s="13">
        <v>67609.45</v>
      </c>
      <c r="I1010" t="s">
        <v>160</v>
      </c>
      <c r="J1010" t="s">
        <v>577</v>
      </c>
      <c r="K1010" t="s">
        <v>170</v>
      </c>
      <c r="L1010">
        <v>5500000278</v>
      </c>
      <c r="M1010" t="s">
        <v>715</v>
      </c>
    </row>
    <row r="1011" spans="3:13">
      <c r="C1011">
        <v>2100300025</v>
      </c>
      <c r="D1011">
        <v>5626000</v>
      </c>
      <c r="E1011" t="s">
        <v>188</v>
      </c>
      <c r="F1011">
        <v>5105010125</v>
      </c>
      <c r="G1011" s="13">
        <v>73798.03</v>
      </c>
      <c r="I1011" t="s">
        <v>160</v>
      </c>
      <c r="J1011" t="s">
        <v>579</v>
      </c>
      <c r="K1011" t="s">
        <v>170</v>
      </c>
      <c r="L1011">
        <v>5500000354</v>
      </c>
      <c r="M1011" t="s">
        <v>716</v>
      </c>
    </row>
    <row r="1012" spans="3:13">
      <c r="C1012">
        <v>2100300025</v>
      </c>
      <c r="D1012">
        <v>5626000</v>
      </c>
      <c r="E1012" t="s">
        <v>188</v>
      </c>
      <c r="F1012">
        <v>5105010125</v>
      </c>
      <c r="G1012" s="13">
        <v>70424.23</v>
      </c>
      <c r="I1012" t="s">
        <v>160</v>
      </c>
      <c r="J1012" t="s">
        <v>581</v>
      </c>
      <c r="K1012" t="s">
        <v>170</v>
      </c>
      <c r="L1012">
        <v>5500000429</v>
      </c>
      <c r="M1012" t="s">
        <v>717</v>
      </c>
    </row>
    <row r="1013" spans="3:13">
      <c r="C1013">
        <v>2100300025</v>
      </c>
      <c r="D1013">
        <v>5626000</v>
      </c>
      <c r="E1013" t="s">
        <v>188</v>
      </c>
      <c r="F1013">
        <v>5105010125</v>
      </c>
      <c r="G1013" s="13">
        <v>50118.09</v>
      </c>
      <c r="I1013" t="s">
        <v>160</v>
      </c>
      <c r="J1013" t="s">
        <v>583</v>
      </c>
      <c r="K1013" t="s">
        <v>170</v>
      </c>
      <c r="L1013">
        <v>5500000506</v>
      </c>
      <c r="M1013" t="s">
        <v>718</v>
      </c>
    </row>
    <row r="1014" spans="3:13">
      <c r="C1014">
        <v>2100300025</v>
      </c>
      <c r="D1014">
        <v>5626000</v>
      </c>
      <c r="E1014" t="s">
        <v>188</v>
      </c>
      <c r="F1014">
        <v>5105010125</v>
      </c>
      <c r="G1014" s="13">
        <v>23265.97</v>
      </c>
      <c r="I1014" t="s">
        <v>160</v>
      </c>
      <c r="J1014" t="s">
        <v>585</v>
      </c>
      <c r="K1014" t="s">
        <v>170</v>
      </c>
      <c r="L1014">
        <v>5500000583</v>
      </c>
      <c r="M1014" t="s">
        <v>719</v>
      </c>
    </row>
    <row r="1015" spans="3:13">
      <c r="C1015">
        <v>2100300025</v>
      </c>
      <c r="D1015">
        <v>5626000</v>
      </c>
      <c r="E1015" t="s">
        <v>188</v>
      </c>
      <c r="F1015">
        <v>5105010125</v>
      </c>
      <c r="G1015" s="13">
        <v>6643.96</v>
      </c>
      <c r="I1015" t="s">
        <v>160</v>
      </c>
      <c r="J1015" t="s">
        <v>587</v>
      </c>
      <c r="K1015" t="s">
        <v>170</v>
      </c>
      <c r="L1015">
        <v>5500000660</v>
      </c>
      <c r="M1015" t="s">
        <v>720</v>
      </c>
    </row>
    <row r="1016" spans="3:13">
      <c r="C1016">
        <v>2100300025</v>
      </c>
      <c r="D1016">
        <v>5626000</v>
      </c>
      <c r="E1016" t="s">
        <v>188</v>
      </c>
      <c r="F1016">
        <v>5105010125</v>
      </c>
      <c r="G1016" s="13">
        <v>1073.32</v>
      </c>
      <c r="I1016" t="s">
        <v>160</v>
      </c>
      <c r="J1016" t="s">
        <v>589</v>
      </c>
      <c r="K1016" t="s">
        <v>170</v>
      </c>
      <c r="L1016">
        <v>5500000737</v>
      </c>
      <c r="M1016" t="s">
        <v>721</v>
      </c>
    </row>
    <row r="1017" spans="3:13">
      <c r="C1017">
        <v>2100300025</v>
      </c>
      <c r="D1017">
        <v>5611310</v>
      </c>
      <c r="E1017" t="s">
        <v>200</v>
      </c>
      <c r="F1017">
        <v>5105010125</v>
      </c>
      <c r="G1017" s="13">
        <v>406318.49</v>
      </c>
      <c r="I1017" t="s">
        <v>160</v>
      </c>
      <c r="J1017" t="s">
        <v>571</v>
      </c>
      <c r="K1017" t="s">
        <v>170</v>
      </c>
      <c r="L1017">
        <v>5500000055</v>
      </c>
      <c r="M1017" t="s">
        <v>722</v>
      </c>
    </row>
    <row r="1018" spans="3:13">
      <c r="C1018">
        <v>2100300025</v>
      </c>
      <c r="D1018">
        <v>5611310</v>
      </c>
      <c r="E1018" t="s">
        <v>200</v>
      </c>
      <c r="F1018">
        <v>5105010125</v>
      </c>
      <c r="G1018" s="13">
        <v>416868.15</v>
      </c>
      <c r="I1018" t="s">
        <v>160</v>
      </c>
      <c r="J1018" t="s">
        <v>571</v>
      </c>
      <c r="K1018" t="s">
        <v>170</v>
      </c>
      <c r="L1018">
        <v>5500000055</v>
      </c>
      <c r="M1018" t="s">
        <v>722</v>
      </c>
    </row>
    <row r="1019" spans="3:13">
      <c r="C1019">
        <v>2100300025</v>
      </c>
      <c r="D1019">
        <v>5611310</v>
      </c>
      <c r="E1019" t="s">
        <v>200</v>
      </c>
      <c r="F1019">
        <v>5105010125</v>
      </c>
      <c r="G1019" s="13">
        <v>211851.03</v>
      </c>
      <c r="I1019" t="s">
        <v>160</v>
      </c>
      <c r="J1019" t="s">
        <v>573</v>
      </c>
      <c r="K1019" t="s">
        <v>170</v>
      </c>
      <c r="L1019">
        <v>5500000128</v>
      </c>
      <c r="M1019" t="s">
        <v>723</v>
      </c>
    </row>
    <row r="1020" spans="3:13">
      <c r="C1020">
        <v>2100300025</v>
      </c>
      <c r="D1020">
        <v>5611310</v>
      </c>
      <c r="E1020" t="s">
        <v>200</v>
      </c>
      <c r="F1020">
        <v>5105010125</v>
      </c>
      <c r="G1020" s="13">
        <v>206489.73</v>
      </c>
      <c r="I1020" t="s">
        <v>160</v>
      </c>
      <c r="J1020" t="s">
        <v>573</v>
      </c>
      <c r="K1020" t="s">
        <v>170</v>
      </c>
      <c r="L1020">
        <v>5500000129</v>
      </c>
      <c r="M1020" t="s">
        <v>713</v>
      </c>
    </row>
    <row r="1021" spans="3:13">
      <c r="C1021">
        <v>2100300025</v>
      </c>
      <c r="D1021">
        <v>5611310</v>
      </c>
      <c r="E1021" t="s">
        <v>200</v>
      </c>
      <c r="F1021">
        <v>5105010125</v>
      </c>
      <c r="G1021" s="13">
        <v>211851.03</v>
      </c>
      <c r="I1021" t="s">
        <v>160</v>
      </c>
      <c r="J1021" t="s">
        <v>575</v>
      </c>
      <c r="K1021" t="s">
        <v>170</v>
      </c>
      <c r="L1021">
        <v>5500000202</v>
      </c>
      <c r="M1021" t="s">
        <v>724</v>
      </c>
    </row>
    <row r="1022" spans="3:13">
      <c r="C1022">
        <v>2100300025</v>
      </c>
      <c r="D1022">
        <v>5611310</v>
      </c>
      <c r="E1022" t="s">
        <v>200</v>
      </c>
      <c r="F1022">
        <v>5105010125</v>
      </c>
      <c r="G1022" s="13">
        <v>206489.73</v>
      </c>
      <c r="I1022" t="s">
        <v>160</v>
      </c>
      <c r="J1022" t="s">
        <v>575</v>
      </c>
      <c r="K1022" t="s">
        <v>170</v>
      </c>
      <c r="L1022">
        <v>5500000202</v>
      </c>
      <c r="M1022" t="s">
        <v>724</v>
      </c>
    </row>
    <row r="1023" spans="3:13">
      <c r="C1023">
        <v>2100300025</v>
      </c>
      <c r="D1023">
        <v>5611310</v>
      </c>
      <c r="E1023" t="s">
        <v>200</v>
      </c>
      <c r="F1023">
        <v>5105010125</v>
      </c>
      <c r="G1023" s="13">
        <v>186506.84</v>
      </c>
      <c r="I1023" t="s">
        <v>160</v>
      </c>
      <c r="J1023" t="s">
        <v>577</v>
      </c>
      <c r="K1023" t="s">
        <v>170</v>
      </c>
      <c r="L1023">
        <v>5500000277</v>
      </c>
      <c r="M1023" t="s">
        <v>725</v>
      </c>
    </row>
    <row r="1024" spans="3:13">
      <c r="C1024">
        <v>2100300025</v>
      </c>
      <c r="D1024">
        <v>5611310</v>
      </c>
      <c r="E1024" t="s">
        <v>200</v>
      </c>
      <c r="F1024">
        <v>5105010125</v>
      </c>
      <c r="G1024" s="13">
        <v>191349.31</v>
      </c>
      <c r="I1024" t="s">
        <v>160</v>
      </c>
      <c r="J1024" t="s">
        <v>577</v>
      </c>
      <c r="K1024" t="s">
        <v>170</v>
      </c>
      <c r="L1024">
        <v>5500000277</v>
      </c>
      <c r="M1024" t="s">
        <v>725</v>
      </c>
    </row>
    <row r="1025" spans="3:13">
      <c r="C1025">
        <v>2100300025</v>
      </c>
      <c r="D1025">
        <v>5611310</v>
      </c>
      <c r="E1025" t="s">
        <v>200</v>
      </c>
      <c r="F1025">
        <v>5105010125</v>
      </c>
      <c r="G1025" s="13">
        <v>206489.73</v>
      </c>
      <c r="I1025" t="s">
        <v>160</v>
      </c>
      <c r="J1025" t="s">
        <v>579</v>
      </c>
      <c r="K1025" t="s">
        <v>170</v>
      </c>
      <c r="L1025">
        <v>5500000353</v>
      </c>
      <c r="M1025" t="s">
        <v>726</v>
      </c>
    </row>
    <row r="1026" spans="3:13">
      <c r="C1026">
        <v>2100300025</v>
      </c>
      <c r="D1026">
        <v>5611310</v>
      </c>
      <c r="E1026" t="s">
        <v>200</v>
      </c>
      <c r="F1026">
        <v>5105010125</v>
      </c>
      <c r="G1026" s="13">
        <v>211851.03</v>
      </c>
      <c r="I1026" t="s">
        <v>160</v>
      </c>
      <c r="J1026" t="s">
        <v>579</v>
      </c>
      <c r="K1026" t="s">
        <v>170</v>
      </c>
      <c r="L1026">
        <v>5500000353</v>
      </c>
      <c r="M1026" t="s">
        <v>726</v>
      </c>
    </row>
    <row r="1027" spans="3:13">
      <c r="C1027">
        <v>2100300025</v>
      </c>
      <c r="D1027">
        <v>5611310</v>
      </c>
      <c r="E1027" t="s">
        <v>200</v>
      </c>
      <c r="F1027">
        <v>5105010125</v>
      </c>
      <c r="G1027" s="13">
        <v>199828.77</v>
      </c>
      <c r="I1027" t="s">
        <v>160</v>
      </c>
      <c r="J1027" t="s">
        <v>581</v>
      </c>
      <c r="K1027" t="s">
        <v>170</v>
      </c>
      <c r="L1027">
        <v>5500000428</v>
      </c>
      <c r="M1027" t="s">
        <v>727</v>
      </c>
    </row>
    <row r="1028" spans="3:13">
      <c r="C1028">
        <v>2100300025</v>
      </c>
      <c r="D1028">
        <v>5611310</v>
      </c>
      <c r="E1028" t="s">
        <v>200</v>
      </c>
      <c r="F1028">
        <v>5105010125</v>
      </c>
      <c r="G1028" s="13">
        <v>205017.12</v>
      </c>
      <c r="I1028" t="s">
        <v>160</v>
      </c>
      <c r="J1028" t="s">
        <v>581</v>
      </c>
      <c r="K1028" t="s">
        <v>170</v>
      </c>
      <c r="L1028">
        <v>5500000428</v>
      </c>
      <c r="M1028" t="s">
        <v>727</v>
      </c>
    </row>
    <row r="1029" spans="3:13">
      <c r="C1029">
        <v>2100300025</v>
      </c>
      <c r="D1029">
        <v>5611310</v>
      </c>
      <c r="E1029" t="s">
        <v>200</v>
      </c>
      <c r="F1029">
        <v>5105010125</v>
      </c>
      <c r="G1029" s="13">
        <v>206489.72</v>
      </c>
      <c r="I1029" t="s">
        <v>160</v>
      </c>
      <c r="J1029" t="s">
        <v>583</v>
      </c>
      <c r="K1029" t="s">
        <v>170</v>
      </c>
      <c r="L1029">
        <v>5500000505</v>
      </c>
      <c r="M1029" t="s">
        <v>728</v>
      </c>
    </row>
    <row r="1030" spans="3:13">
      <c r="C1030">
        <v>2100300025</v>
      </c>
      <c r="D1030">
        <v>5611310</v>
      </c>
      <c r="E1030" t="s">
        <v>200</v>
      </c>
      <c r="F1030">
        <v>5105010125</v>
      </c>
      <c r="G1030" s="13">
        <v>211851.03</v>
      </c>
      <c r="I1030" t="s">
        <v>160</v>
      </c>
      <c r="J1030" t="s">
        <v>583</v>
      </c>
      <c r="K1030" t="s">
        <v>170</v>
      </c>
      <c r="L1030">
        <v>5500000505</v>
      </c>
      <c r="M1030" t="s">
        <v>728</v>
      </c>
    </row>
    <row r="1031" spans="3:13">
      <c r="C1031">
        <v>2100300025</v>
      </c>
      <c r="D1031">
        <v>5611310</v>
      </c>
      <c r="E1031" t="s">
        <v>200</v>
      </c>
      <c r="F1031">
        <v>5105010125</v>
      </c>
      <c r="G1031" s="13">
        <v>86591.47</v>
      </c>
      <c r="I1031" t="s">
        <v>160</v>
      </c>
      <c r="J1031" t="s">
        <v>585</v>
      </c>
      <c r="K1031" t="s">
        <v>170</v>
      </c>
      <c r="L1031">
        <v>5500000582</v>
      </c>
      <c r="M1031" t="s">
        <v>729</v>
      </c>
    </row>
    <row r="1032" spans="3:13">
      <c r="C1032">
        <v>2100300025</v>
      </c>
      <c r="D1032">
        <v>5611310</v>
      </c>
      <c r="E1032" t="s">
        <v>200</v>
      </c>
      <c r="F1032">
        <v>5105010125</v>
      </c>
      <c r="G1032" s="13">
        <v>205017.12</v>
      </c>
      <c r="I1032" t="s">
        <v>160</v>
      </c>
      <c r="J1032" t="s">
        <v>585</v>
      </c>
      <c r="K1032" t="s">
        <v>170</v>
      </c>
      <c r="L1032">
        <v>5500000582</v>
      </c>
      <c r="M1032" t="s">
        <v>729</v>
      </c>
    </row>
    <row r="1033" spans="3:13">
      <c r="C1033">
        <v>2100300025</v>
      </c>
      <c r="D1033">
        <v>5611310</v>
      </c>
      <c r="E1033" t="s">
        <v>200</v>
      </c>
      <c r="F1033">
        <v>5105010125</v>
      </c>
      <c r="G1033" s="13">
        <v>157178.79999999999</v>
      </c>
      <c r="I1033" t="s">
        <v>160</v>
      </c>
      <c r="J1033" t="s">
        <v>587</v>
      </c>
      <c r="K1033" t="s">
        <v>170</v>
      </c>
      <c r="L1033">
        <v>5500000659</v>
      </c>
      <c r="M1033" t="s">
        <v>730</v>
      </c>
    </row>
    <row r="1034" spans="3:13">
      <c r="C1034">
        <v>2100300025</v>
      </c>
      <c r="D1034">
        <v>5726000</v>
      </c>
      <c r="E1034" t="s">
        <v>188</v>
      </c>
      <c r="F1034">
        <v>5105010125</v>
      </c>
      <c r="G1034" s="13">
        <v>1350292.59</v>
      </c>
      <c r="I1034" t="s">
        <v>160</v>
      </c>
      <c r="J1034" t="s">
        <v>571</v>
      </c>
      <c r="K1034" t="s">
        <v>170</v>
      </c>
      <c r="L1034">
        <v>5500000056</v>
      </c>
      <c r="M1034" t="s">
        <v>712</v>
      </c>
    </row>
    <row r="1035" spans="3:13">
      <c r="C1035">
        <v>2100300025</v>
      </c>
      <c r="D1035">
        <v>5726000</v>
      </c>
      <c r="E1035" t="s">
        <v>188</v>
      </c>
      <c r="F1035">
        <v>5105010125</v>
      </c>
      <c r="G1035" s="13">
        <v>686214.35</v>
      </c>
      <c r="I1035" t="s">
        <v>160</v>
      </c>
      <c r="J1035" t="s">
        <v>573</v>
      </c>
      <c r="K1035" t="s">
        <v>170</v>
      </c>
      <c r="L1035">
        <v>5500000129</v>
      </c>
      <c r="M1035" t="s">
        <v>713</v>
      </c>
    </row>
    <row r="1036" spans="3:13">
      <c r="C1036">
        <v>2100300025</v>
      </c>
      <c r="D1036">
        <v>5726000</v>
      </c>
      <c r="E1036" t="s">
        <v>188</v>
      </c>
      <c r="F1036">
        <v>5105010125</v>
      </c>
      <c r="G1036" s="13">
        <v>685789.3</v>
      </c>
      <c r="I1036" t="s">
        <v>160</v>
      </c>
      <c r="J1036" t="s">
        <v>575</v>
      </c>
      <c r="K1036" t="s">
        <v>170</v>
      </c>
      <c r="L1036">
        <v>5500000203</v>
      </c>
      <c r="M1036" t="s">
        <v>714</v>
      </c>
    </row>
    <row r="1037" spans="3:13">
      <c r="C1037">
        <v>2100300025</v>
      </c>
      <c r="D1037">
        <v>5726000</v>
      </c>
      <c r="E1037" t="s">
        <v>188</v>
      </c>
      <c r="F1037">
        <v>5105010125</v>
      </c>
      <c r="G1037" s="13">
        <v>619106.42000000004</v>
      </c>
      <c r="I1037" t="s">
        <v>160</v>
      </c>
      <c r="J1037" t="s">
        <v>577</v>
      </c>
      <c r="K1037" t="s">
        <v>170</v>
      </c>
      <c r="L1037">
        <v>5500000278</v>
      </c>
      <c r="M1037" t="s">
        <v>715</v>
      </c>
    </row>
    <row r="1038" spans="3:13">
      <c r="C1038">
        <v>2100300025</v>
      </c>
      <c r="D1038">
        <v>5726000</v>
      </c>
      <c r="E1038" t="s">
        <v>188</v>
      </c>
      <c r="F1038">
        <v>5105010125</v>
      </c>
      <c r="G1038" s="13">
        <v>685439.32</v>
      </c>
      <c r="I1038" t="s">
        <v>160</v>
      </c>
      <c r="J1038" t="s">
        <v>579</v>
      </c>
      <c r="K1038" t="s">
        <v>170</v>
      </c>
      <c r="L1038">
        <v>5500000354</v>
      </c>
      <c r="M1038" t="s">
        <v>716</v>
      </c>
    </row>
    <row r="1039" spans="3:13">
      <c r="C1039">
        <v>2100300025</v>
      </c>
      <c r="D1039">
        <v>5726000</v>
      </c>
      <c r="E1039" t="s">
        <v>188</v>
      </c>
      <c r="F1039">
        <v>5105010125</v>
      </c>
      <c r="G1039" s="13">
        <v>663328.41</v>
      </c>
      <c r="I1039" t="s">
        <v>160</v>
      </c>
      <c r="J1039" t="s">
        <v>581</v>
      </c>
      <c r="K1039" t="s">
        <v>170</v>
      </c>
      <c r="L1039">
        <v>5500000429</v>
      </c>
      <c r="M1039" t="s">
        <v>717</v>
      </c>
    </row>
    <row r="1040" spans="3:13">
      <c r="C1040">
        <v>2100300025</v>
      </c>
      <c r="D1040">
        <v>5726000</v>
      </c>
      <c r="E1040" t="s">
        <v>188</v>
      </c>
      <c r="F1040">
        <v>5105010125</v>
      </c>
      <c r="G1040" s="13">
        <v>685439.36</v>
      </c>
      <c r="I1040" t="s">
        <v>160</v>
      </c>
      <c r="J1040" t="s">
        <v>583</v>
      </c>
      <c r="K1040" t="s">
        <v>170</v>
      </c>
      <c r="L1040">
        <v>5500000506</v>
      </c>
      <c r="M1040" t="s">
        <v>718</v>
      </c>
    </row>
    <row r="1041" spans="3:13">
      <c r="C1041">
        <v>2100300025</v>
      </c>
      <c r="D1041">
        <v>5726000</v>
      </c>
      <c r="E1041" t="s">
        <v>188</v>
      </c>
      <c r="F1041">
        <v>5105010125</v>
      </c>
      <c r="G1041" s="13">
        <v>663328.31000000006</v>
      </c>
      <c r="I1041" t="s">
        <v>160</v>
      </c>
      <c r="J1041" t="s">
        <v>585</v>
      </c>
      <c r="K1041" t="s">
        <v>170</v>
      </c>
      <c r="L1041">
        <v>5500000583</v>
      </c>
      <c r="M1041" t="s">
        <v>719</v>
      </c>
    </row>
    <row r="1042" spans="3:13">
      <c r="C1042">
        <v>2100300025</v>
      </c>
      <c r="D1042">
        <v>5726000</v>
      </c>
      <c r="E1042" t="s">
        <v>188</v>
      </c>
      <c r="F1042">
        <v>5105010125</v>
      </c>
      <c r="G1042" s="13">
        <v>685439.35</v>
      </c>
      <c r="I1042" t="s">
        <v>160</v>
      </c>
      <c r="J1042" t="s">
        <v>587</v>
      </c>
      <c r="K1042" t="s">
        <v>170</v>
      </c>
      <c r="L1042">
        <v>5500000660</v>
      </c>
      <c r="M1042" t="s">
        <v>720</v>
      </c>
    </row>
    <row r="1043" spans="3:13">
      <c r="C1043">
        <v>2100300025</v>
      </c>
      <c r="D1043">
        <v>5726000</v>
      </c>
      <c r="E1043" t="s">
        <v>188</v>
      </c>
      <c r="F1043">
        <v>5105010125</v>
      </c>
      <c r="G1043" s="13">
        <v>685292.72</v>
      </c>
      <c r="I1043" t="s">
        <v>160</v>
      </c>
      <c r="J1043" t="s">
        <v>589</v>
      </c>
      <c r="K1043" t="s">
        <v>170</v>
      </c>
      <c r="L1043">
        <v>5500000737</v>
      </c>
      <c r="M1043" t="s">
        <v>721</v>
      </c>
    </row>
    <row r="1044" spans="3:13">
      <c r="C1044">
        <v>2100300025</v>
      </c>
      <c r="D1044">
        <v>5826000</v>
      </c>
      <c r="E1044" t="s">
        <v>188</v>
      </c>
      <c r="F1044">
        <v>5105010125</v>
      </c>
      <c r="G1044" s="13">
        <v>472905.46</v>
      </c>
      <c r="I1044" t="s">
        <v>160</v>
      </c>
      <c r="J1044" t="s">
        <v>571</v>
      </c>
      <c r="K1044" t="s">
        <v>170</v>
      </c>
      <c r="L1044">
        <v>5500000056</v>
      </c>
      <c r="M1044" t="s">
        <v>712</v>
      </c>
    </row>
    <row r="1045" spans="3:13">
      <c r="C1045">
        <v>2100300025</v>
      </c>
      <c r="D1045">
        <v>5826000</v>
      </c>
      <c r="E1045" t="s">
        <v>188</v>
      </c>
      <c r="F1045">
        <v>5105010125</v>
      </c>
      <c r="G1045" s="13">
        <v>240328.9</v>
      </c>
      <c r="I1045" t="s">
        <v>160</v>
      </c>
      <c r="J1045" t="s">
        <v>573</v>
      </c>
      <c r="K1045" t="s">
        <v>170</v>
      </c>
      <c r="L1045">
        <v>5500000129</v>
      </c>
      <c r="M1045" t="s">
        <v>713</v>
      </c>
    </row>
    <row r="1046" spans="3:13">
      <c r="C1046">
        <v>2100300025</v>
      </c>
      <c r="D1046">
        <v>5826000</v>
      </c>
      <c r="E1046" t="s">
        <v>188</v>
      </c>
      <c r="F1046">
        <v>5105010125</v>
      </c>
      <c r="G1046" s="13">
        <v>240313.49</v>
      </c>
      <c r="I1046" t="s">
        <v>160</v>
      </c>
      <c r="J1046" t="s">
        <v>575</v>
      </c>
      <c r="K1046" t="s">
        <v>170</v>
      </c>
      <c r="L1046">
        <v>5500000203</v>
      </c>
      <c r="M1046" t="s">
        <v>714</v>
      </c>
    </row>
    <row r="1047" spans="3:13">
      <c r="C1047">
        <v>2100300025</v>
      </c>
      <c r="D1047">
        <v>5826000</v>
      </c>
      <c r="E1047" t="s">
        <v>188</v>
      </c>
      <c r="F1047">
        <v>5105010125</v>
      </c>
      <c r="G1047" s="13">
        <v>217045.82</v>
      </c>
      <c r="I1047" t="s">
        <v>160</v>
      </c>
      <c r="J1047" t="s">
        <v>577</v>
      </c>
      <c r="K1047" t="s">
        <v>170</v>
      </c>
      <c r="L1047">
        <v>5500000278</v>
      </c>
      <c r="M1047" t="s">
        <v>715</v>
      </c>
    </row>
    <row r="1048" spans="3:13">
      <c r="C1048">
        <v>2100300025</v>
      </c>
      <c r="D1048">
        <v>5826000</v>
      </c>
      <c r="E1048" t="s">
        <v>188</v>
      </c>
      <c r="F1048">
        <v>5105010125</v>
      </c>
      <c r="G1048" s="13">
        <v>240300.67</v>
      </c>
      <c r="I1048" t="s">
        <v>160</v>
      </c>
      <c r="J1048" t="s">
        <v>579</v>
      </c>
      <c r="K1048" t="s">
        <v>170</v>
      </c>
      <c r="L1048">
        <v>5500000354</v>
      </c>
      <c r="M1048" t="s">
        <v>716</v>
      </c>
    </row>
    <row r="1049" spans="3:13">
      <c r="C1049">
        <v>2100300025</v>
      </c>
      <c r="D1049">
        <v>5826000</v>
      </c>
      <c r="E1049" t="s">
        <v>188</v>
      </c>
      <c r="F1049">
        <v>5105010125</v>
      </c>
      <c r="G1049" s="13">
        <v>232549.07</v>
      </c>
      <c r="I1049" t="s">
        <v>160</v>
      </c>
      <c r="J1049" t="s">
        <v>581</v>
      </c>
      <c r="K1049" t="s">
        <v>170</v>
      </c>
      <c r="L1049">
        <v>5500000429</v>
      </c>
      <c r="M1049" t="s">
        <v>717</v>
      </c>
    </row>
    <row r="1050" spans="3:13">
      <c r="C1050">
        <v>2100300025</v>
      </c>
      <c r="D1050">
        <v>5826000</v>
      </c>
      <c r="E1050" t="s">
        <v>188</v>
      </c>
      <c r="F1050">
        <v>5105010125</v>
      </c>
      <c r="G1050" s="13">
        <v>240300.6</v>
      </c>
      <c r="I1050" t="s">
        <v>160</v>
      </c>
      <c r="J1050" t="s">
        <v>583</v>
      </c>
      <c r="K1050" t="s">
        <v>170</v>
      </c>
      <c r="L1050">
        <v>5500000506</v>
      </c>
      <c r="M1050" t="s">
        <v>718</v>
      </c>
    </row>
    <row r="1051" spans="3:13">
      <c r="C1051">
        <v>2100300025</v>
      </c>
      <c r="D1051">
        <v>5826000</v>
      </c>
      <c r="E1051" t="s">
        <v>188</v>
      </c>
      <c r="F1051">
        <v>5105010125</v>
      </c>
      <c r="G1051" s="13">
        <v>232549.14</v>
      </c>
      <c r="I1051" t="s">
        <v>160</v>
      </c>
      <c r="J1051" t="s">
        <v>585</v>
      </c>
      <c r="K1051" t="s">
        <v>170</v>
      </c>
      <c r="L1051">
        <v>5500000583</v>
      </c>
      <c r="M1051" t="s">
        <v>719</v>
      </c>
    </row>
    <row r="1052" spans="3:13">
      <c r="C1052">
        <v>2100300025</v>
      </c>
      <c r="D1052">
        <v>5826000</v>
      </c>
      <c r="E1052" t="s">
        <v>188</v>
      </c>
      <c r="F1052">
        <v>5105010125</v>
      </c>
      <c r="G1052" s="13">
        <v>240300.59</v>
      </c>
      <c r="I1052" t="s">
        <v>160</v>
      </c>
      <c r="J1052" t="s">
        <v>587</v>
      </c>
      <c r="K1052" t="s">
        <v>170</v>
      </c>
      <c r="L1052">
        <v>5500000660</v>
      </c>
      <c r="M1052" t="s">
        <v>720</v>
      </c>
    </row>
    <row r="1053" spans="3:13">
      <c r="C1053">
        <v>2100300025</v>
      </c>
      <c r="D1053">
        <v>5826000</v>
      </c>
      <c r="E1053" t="s">
        <v>188</v>
      </c>
      <c r="F1053">
        <v>5105010125</v>
      </c>
      <c r="G1053" s="13">
        <v>240300.68</v>
      </c>
      <c r="I1053" t="s">
        <v>160</v>
      </c>
      <c r="J1053" t="s">
        <v>589</v>
      </c>
      <c r="K1053" t="s">
        <v>170</v>
      </c>
      <c r="L1053">
        <v>5500000737</v>
      </c>
      <c r="M1053" t="s">
        <v>721</v>
      </c>
    </row>
    <row r="1054" spans="3:13">
      <c r="C1054">
        <v>2100300025</v>
      </c>
      <c r="D1054">
        <v>5831000</v>
      </c>
      <c r="E1054" t="s">
        <v>188</v>
      </c>
      <c r="F1054">
        <v>5105010125</v>
      </c>
      <c r="G1054" s="13">
        <v>12381.81</v>
      </c>
      <c r="I1054" t="s">
        <v>160</v>
      </c>
      <c r="J1054" t="s">
        <v>571</v>
      </c>
      <c r="K1054" t="s">
        <v>170</v>
      </c>
      <c r="L1054">
        <v>5500000056</v>
      </c>
      <c r="M1054" t="s">
        <v>712</v>
      </c>
    </row>
    <row r="1055" spans="3:13">
      <c r="C1055">
        <v>2100300025</v>
      </c>
      <c r="D1055">
        <v>5831000</v>
      </c>
      <c r="E1055" t="s">
        <v>188</v>
      </c>
      <c r="F1055">
        <v>5105010125</v>
      </c>
      <c r="G1055" s="13">
        <v>6292.31</v>
      </c>
      <c r="I1055" t="s">
        <v>160</v>
      </c>
      <c r="J1055" t="s">
        <v>573</v>
      </c>
      <c r="K1055" t="s">
        <v>170</v>
      </c>
      <c r="L1055">
        <v>5500000129</v>
      </c>
      <c r="M1055" t="s">
        <v>713</v>
      </c>
    </row>
    <row r="1056" spans="3:13">
      <c r="C1056">
        <v>2100300025</v>
      </c>
      <c r="D1056">
        <v>5831000</v>
      </c>
      <c r="E1056" t="s">
        <v>188</v>
      </c>
      <c r="F1056">
        <v>5105010125</v>
      </c>
      <c r="G1056" s="13">
        <v>6292.4</v>
      </c>
      <c r="I1056" t="s">
        <v>160</v>
      </c>
      <c r="J1056" t="s">
        <v>575</v>
      </c>
      <c r="K1056" t="s">
        <v>170</v>
      </c>
      <c r="L1056">
        <v>5500000203</v>
      </c>
      <c r="M1056" t="s">
        <v>714</v>
      </c>
    </row>
    <row r="1057" spans="3:13">
      <c r="C1057">
        <v>2100300025</v>
      </c>
      <c r="D1057">
        <v>5831000</v>
      </c>
      <c r="E1057" t="s">
        <v>188</v>
      </c>
      <c r="F1057">
        <v>5105010125</v>
      </c>
      <c r="G1057" s="13">
        <v>5683.44</v>
      </c>
      <c r="I1057" t="s">
        <v>160</v>
      </c>
      <c r="J1057" t="s">
        <v>577</v>
      </c>
      <c r="K1057" t="s">
        <v>170</v>
      </c>
      <c r="L1057">
        <v>5500000278</v>
      </c>
      <c r="M1057" t="s">
        <v>715</v>
      </c>
    </row>
    <row r="1058" spans="3:13">
      <c r="C1058">
        <v>2100300025</v>
      </c>
      <c r="D1058">
        <v>5831000</v>
      </c>
      <c r="E1058" t="s">
        <v>188</v>
      </c>
      <c r="F1058">
        <v>5105010125</v>
      </c>
      <c r="G1058" s="13">
        <v>6292.41</v>
      </c>
      <c r="I1058" t="s">
        <v>160</v>
      </c>
      <c r="J1058" t="s">
        <v>579</v>
      </c>
      <c r="K1058" t="s">
        <v>170</v>
      </c>
      <c r="L1058">
        <v>5500000354</v>
      </c>
      <c r="M1058" t="s">
        <v>716</v>
      </c>
    </row>
    <row r="1059" spans="3:13">
      <c r="C1059">
        <v>2100300025</v>
      </c>
      <c r="D1059">
        <v>5831000</v>
      </c>
      <c r="E1059" t="s">
        <v>188</v>
      </c>
      <c r="F1059">
        <v>5105010125</v>
      </c>
      <c r="G1059" s="13">
        <v>6089.45</v>
      </c>
      <c r="I1059" t="s">
        <v>160</v>
      </c>
      <c r="J1059" t="s">
        <v>581</v>
      </c>
      <c r="K1059" t="s">
        <v>170</v>
      </c>
      <c r="L1059">
        <v>5500000429</v>
      </c>
      <c r="M1059" t="s">
        <v>717</v>
      </c>
    </row>
    <row r="1060" spans="3:13">
      <c r="C1060">
        <v>2100300025</v>
      </c>
      <c r="D1060">
        <v>5831000</v>
      </c>
      <c r="E1060" t="s">
        <v>188</v>
      </c>
      <c r="F1060">
        <v>5105010125</v>
      </c>
      <c r="G1060" s="13">
        <v>6292.35</v>
      </c>
      <c r="I1060" t="s">
        <v>160</v>
      </c>
      <c r="J1060" t="s">
        <v>583</v>
      </c>
      <c r="K1060" t="s">
        <v>170</v>
      </c>
      <c r="L1060">
        <v>5500000506</v>
      </c>
      <c r="M1060" t="s">
        <v>718</v>
      </c>
    </row>
    <row r="1061" spans="3:13">
      <c r="C1061">
        <v>2100300025</v>
      </c>
      <c r="D1061">
        <v>5831000</v>
      </c>
      <c r="E1061" t="s">
        <v>188</v>
      </c>
      <c r="F1061">
        <v>5105010125</v>
      </c>
      <c r="G1061" s="13">
        <v>6089.44</v>
      </c>
      <c r="I1061" t="s">
        <v>160</v>
      </c>
      <c r="J1061" t="s">
        <v>585</v>
      </c>
      <c r="K1061" t="s">
        <v>170</v>
      </c>
      <c r="L1061">
        <v>5500000583</v>
      </c>
      <c r="M1061" t="s">
        <v>719</v>
      </c>
    </row>
    <row r="1062" spans="3:13">
      <c r="C1062">
        <v>2100300025</v>
      </c>
      <c r="D1062">
        <v>5831000</v>
      </c>
      <c r="E1062" t="s">
        <v>188</v>
      </c>
      <c r="F1062">
        <v>5105010125</v>
      </c>
      <c r="G1062" s="13">
        <v>6292.31</v>
      </c>
      <c r="I1062" t="s">
        <v>160</v>
      </c>
      <c r="J1062" t="s">
        <v>587</v>
      </c>
      <c r="K1062" t="s">
        <v>170</v>
      </c>
      <c r="L1062">
        <v>5500000660</v>
      </c>
      <c r="M1062" t="s">
        <v>720</v>
      </c>
    </row>
    <row r="1063" spans="3:13">
      <c r="C1063">
        <v>2100300025</v>
      </c>
      <c r="D1063">
        <v>5831000</v>
      </c>
      <c r="E1063" t="s">
        <v>188</v>
      </c>
      <c r="F1063">
        <v>5105010125</v>
      </c>
      <c r="G1063" s="13">
        <v>6292.42</v>
      </c>
      <c r="I1063" t="s">
        <v>160</v>
      </c>
      <c r="J1063" t="s">
        <v>589</v>
      </c>
      <c r="K1063" t="s">
        <v>170</v>
      </c>
      <c r="L1063">
        <v>5500000737</v>
      </c>
      <c r="M1063" t="s">
        <v>721</v>
      </c>
    </row>
    <row r="1064" spans="3:13">
      <c r="C1064">
        <v>2100300025</v>
      </c>
      <c r="D1064">
        <v>5811310</v>
      </c>
      <c r="E1064" t="s">
        <v>196</v>
      </c>
      <c r="F1064">
        <v>5105010125</v>
      </c>
      <c r="G1064" s="13">
        <v>1406.74</v>
      </c>
      <c r="I1064" t="s">
        <v>160</v>
      </c>
      <c r="J1064" t="s">
        <v>571</v>
      </c>
      <c r="K1064" t="s">
        <v>170</v>
      </c>
      <c r="L1064">
        <v>5500000055</v>
      </c>
      <c r="M1064" t="s">
        <v>722</v>
      </c>
    </row>
    <row r="1065" spans="3:13">
      <c r="C1065">
        <v>2100300025</v>
      </c>
      <c r="D1065">
        <v>5811310</v>
      </c>
      <c r="E1065" t="s">
        <v>196</v>
      </c>
      <c r="F1065">
        <v>5105010125</v>
      </c>
      <c r="G1065" s="13">
        <v>3446.92</v>
      </c>
      <c r="I1065" t="s">
        <v>160</v>
      </c>
      <c r="J1065" t="s">
        <v>571</v>
      </c>
      <c r="K1065" t="s">
        <v>170</v>
      </c>
      <c r="L1065">
        <v>5500000055</v>
      </c>
      <c r="M1065" t="s">
        <v>722</v>
      </c>
    </row>
    <row r="1066" spans="3:13">
      <c r="C1066">
        <v>2100300025</v>
      </c>
      <c r="D1066">
        <v>5811310</v>
      </c>
      <c r="E1066" t="s">
        <v>196</v>
      </c>
      <c r="F1066">
        <v>5105010125</v>
      </c>
      <c r="G1066">
        <v>714.9</v>
      </c>
      <c r="I1066" t="s">
        <v>160</v>
      </c>
      <c r="J1066" t="s">
        <v>573</v>
      </c>
      <c r="K1066" t="s">
        <v>170</v>
      </c>
      <c r="L1066">
        <v>5500000129</v>
      </c>
      <c r="M1066" t="s">
        <v>713</v>
      </c>
    </row>
    <row r="1067" spans="3:13">
      <c r="C1067">
        <v>2100300025</v>
      </c>
      <c r="D1067">
        <v>5811310</v>
      </c>
      <c r="E1067" t="s">
        <v>196</v>
      </c>
      <c r="F1067">
        <v>5105010125</v>
      </c>
      <c r="G1067" s="13">
        <v>1751.71</v>
      </c>
      <c r="I1067" t="s">
        <v>160</v>
      </c>
      <c r="J1067" t="s">
        <v>573</v>
      </c>
      <c r="K1067" t="s">
        <v>170</v>
      </c>
      <c r="L1067">
        <v>5500000129</v>
      </c>
      <c r="M1067" t="s">
        <v>713</v>
      </c>
    </row>
    <row r="1068" spans="3:13">
      <c r="C1068">
        <v>2100300025</v>
      </c>
      <c r="D1068">
        <v>5811310</v>
      </c>
      <c r="E1068" t="s">
        <v>196</v>
      </c>
      <c r="F1068">
        <v>5105010125</v>
      </c>
      <c r="G1068">
        <v>714.88</v>
      </c>
      <c r="I1068" t="s">
        <v>160</v>
      </c>
      <c r="J1068" t="s">
        <v>575</v>
      </c>
      <c r="K1068" t="s">
        <v>170</v>
      </c>
      <c r="L1068">
        <v>5500000202</v>
      </c>
      <c r="M1068" t="s">
        <v>724</v>
      </c>
    </row>
    <row r="1069" spans="3:13">
      <c r="C1069">
        <v>2100300025</v>
      </c>
      <c r="D1069">
        <v>5811310</v>
      </c>
      <c r="E1069" t="s">
        <v>196</v>
      </c>
      <c r="F1069">
        <v>5105010125</v>
      </c>
      <c r="G1069" s="13">
        <v>1751.71</v>
      </c>
      <c r="I1069" t="s">
        <v>160</v>
      </c>
      <c r="J1069" t="s">
        <v>575</v>
      </c>
      <c r="K1069" t="s">
        <v>170</v>
      </c>
      <c r="L1069">
        <v>5500000202</v>
      </c>
      <c r="M1069" t="s">
        <v>724</v>
      </c>
    </row>
    <row r="1070" spans="3:13">
      <c r="C1070">
        <v>2100300025</v>
      </c>
      <c r="D1070">
        <v>5811310</v>
      </c>
      <c r="E1070" t="s">
        <v>196</v>
      </c>
      <c r="F1070">
        <v>5105010125</v>
      </c>
      <c r="G1070">
        <v>645.72</v>
      </c>
      <c r="I1070" t="s">
        <v>160</v>
      </c>
      <c r="J1070" t="s">
        <v>577</v>
      </c>
      <c r="K1070" t="s">
        <v>170</v>
      </c>
      <c r="L1070">
        <v>5500000277</v>
      </c>
      <c r="M1070" t="s">
        <v>725</v>
      </c>
    </row>
    <row r="1071" spans="3:13">
      <c r="C1071">
        <v>2100300025</v>
      </c>
      <c r="D1071">
        <v>5811310</v>
      </c>
      <c r="E1071" t="s">
        <v>196</v>
      </c>
      <c r="F1071">
        <v>5105010125</v>
      </c>
      <c r="G1071" s="13">
        <v>1582.19</v>
      </c>
      <c r="I1071" t="s">
        <v>160</v>
      </c>
      <c r="J1071" t="s">
        <v>577</v>
      </c>
      <c r="K1071" t="s">
        <v>170</v>
      </c>
      <c r="L1071">
        <v>5500000277</v>
      </c>
      <c r="M1071" t="s">
        <v>725</v>
      </c>
    </row>
    <row r="1072" spans="3:13">
      <c r="C1072">
        <v>2100300025</v>
      </c>
      <c r="D1072">
        <v>5811310</v>
      </c>
      <c r="E1072" t="s">
        <v>196</v>
      </c>
      <c r="F1072">
        <v>5105010125</v>
      </c>
      <c r="G1072">
        <v>714.9</v>
      </c>
      <c r="I1072" t="s">
        <v>160</v>
      </c>
      <c r="J1072" t="s">
        <v>579</v>
      </c>
      <c r="K1072" t="s">
        <v>170</v>
      </c>
      <c r="L1072">
        <v>5500000353</v>
      </c>
      <c r="M1072" t="s">
        <v>726</v>
      </c>
    </row>
    <row r="1073" spans="3:13">
      <c r="C1073">
        <v>2100300025</v>
      </c>
      <c r="D1073">
        <v>5811310</v>
      </c>
      <c r="E1073" t="s">
        <v>196</v>
      </c>
      <c r="F1073">
        <v>5105010125</v>
      </c>
      <c r="G1073" s="13">
        <v>1751.72</v>
      </c>
      <c r="I1073" t="s">
        <v>160</v>
      </c>
      <c r="J1073" t="s">
        <v>579</v>
      </c>
      <c r="K1073" t="s">
        <v>170</v>
      </c>
      <c r="L1073">
        <v>5500000353</v>
      </c>
      <c r="M1073" t="s">
        <v>726</v>
      </c>
    </row>
    <row r="1074" spans="3:13">
      <c r="C1074">
        <v>2100300025</v>
      </c>
      <c r="D1074">
        <v>5811310</v>
      </c>
      <c r="E1074" t="s">
        <v>196</v>
      </c>
      <c r="F1074">
        <v>5105010125</v>
      </c>
      <c r="G1074">
        <v>691.84</v>
      </c>
      <c r="I1074" t="s">
        <v>160</v>
      </c>
      <c r="J1074" t="s">
        <v>581</v>
      </c>
      <c r="K1074" t="s">
        <v>170</v>
      </c>
      <c r="L1074">
        <v>5500000428</v>
      </c>
      <c r="M1074" t="s">
        <v>727</v>
      </c>
    </row>
    <row r="1075" spans="3:13">
      <c r="C1075">
        <v>2100300025</v>
      </c>
      <c r="D1075">
        <v>5811310</v>
      </c>
      <c r="E1075" t="s">
        <v>196</v>
      </c>
      <c r="F1075">
        <v>5105010125</v>
      </c>
      <c r="G1075" s="13">
        <v>1695.2</v>
      </c>
      <c r="I1075" t="s">
        <v>160</v>
      </c>
      <c r="J1075" t="s">
        <v>581</v>
      </c>
      <c r="K1075" t="s">
        <v>170</v>
      </c>
      <c r="L1075">
        <v>5500000428</v>
      </c>
      <c r="M1075" t="s">
        <v>727</v>
      </c>
    </row>
    <row r="1076" spans="3:13">
      <c r="C1076">
        <v>2100300025</v>
      </c>
      <c r="D1076">
        <v>5811310</v>
      </c>
      <c r="E1076" t="s">
        <v>196</v>
      </c>
      <c r="F1076">
        <v>5105010125</v>
      </c>
      <c r="G1076">
        <v>714.9</v>
      </c>
      <c r="I1076" t="s">
        <v>160</v>
      </c>
      <c r="J1076" t="s">
        <v>583</v>
      </c>
      <c r="K1076" t="s">
        <v>170</v>
      </c>
      <c r="L1076">
        <v>5500000505</v>
      </c>
      <c r="M1076" t="s">
        <v>728</v>
      </c>
    </row>
    <row r="1077" spans="3:13">
      <c r="C1077">
        <v>2100300025</v>
      </c>
      <c r="D1077">
        <v>5811310</v>
      </c>
      <c r="E1077" t="s">
        <v>196</v>
      </c>
      <c r="F1077">
        <v>5105010125</v>
      </c>
      <c r="G1077" s="13">
        <v>1751.71</v>
      </c>
      <c r="I1077" t="s">
        <v>160</v>
      </c>
      <c r="J1077" t="s">
        <v>583</v>
      </c>
      <c r="K1077" t="s">
        <v>170</v>
      </c>
      <c r="L1077">
        <v>5500000505</v>
      </c>
      <c r="M1077" t="s">
        <v>728</v>
      </c>
    </row>
    <row r="1078" spans="3:13">
      <c r="C1078">
        <v>2100300025</v>
      </c>
      <c r="D1078">
        <v>5811310</v>
      </c>
      <c r="E1078" t="s">
        <v>196</v>
      </c>
      <c r="F1078">
        <v>5105010125</v>
      </c>
      <c r="G1078">
        <v>691.82</v>
      </c>
      <c r="I1078" t="s">
        <v>160</v>
      </c>
      <c r="J1078" t="s">
        <v>585</v>
      </c>
      <c r="K1078" t="s">
        <v>170</v>
      </c>
      <c r="L1078">
        <v>5500000582</v>
      </c>
      <c r="M1078" t="s">
        <v>729</v>
      </c>
    </row>
    <row r="1079" spans="3:13">
      <c r="C1079">
        <v>2100300025</v>
      </c>
      <c r="D1079">
        <v>5811310</v>
      </c>
      <c r="E1079" t="s">
        <v>196</v>
      </c>
      <c r="F1079">
        <v>5105010125</v>
      </c>
      <c r="G1079" s="13">
        <v>1695.21</v>
      </c>
      <c r="I1079" t="s">
        <v>160</v>
      </c>
      <c r="J1079" t="s">
        <v>585</v>
      </c>
      <c r="K1079" t="s">
        <v>170</v>
      </c>
      <c r="L1079">
        <v>5500000582</v>
      </c>
      <c r="M1079" t="s">
        <v>729</v>
      </c>
    </row>
    <row r="1080" spans="3:13">
      <c r="C1080">
        <v>2100300025</v>
      </c>
      <c r="D1080">
        <v>5811310</v>
      </c>
      <c r="E1080" t="s">
        <v>196</v>
      </c>
      <c r="F1080">
        <v>5105010125</v>
      </c>
      <c r="G1080">
        <v>714.9</v>
      </c>
      <c r="I1080" t="s">
        <v>160</v>
      </c>
      <c r="J1080" t="s">
        <v>587</v>
      </c>
      <c r="K1080" t="s">
        <v>170</v>
      </c>
      <c r="L1080">
        <v>5500000659</v>
      </c>
      <c r="M1080" t="s">
        <v>730</v>
      </c>
    </row>
    <row r="1081" spans="3:13">
      <c r="C1081">
        <v>2100300025</v>
      </c>
      <c r="D1081">
        <v>5811310</v>
      </c>
      <c r="E1081" t="s">
        <v>196</v>
      </c>
      <c r="F1081">
        <v>5105010125</v>
      </c>
      <c r="G1081" s="13">
        <v>1751.71</v>
      </c>
      <c r="I1081" t="s">
        <v>160</v>
      </c>
      <c r="J1081" t="s">
        <v>587</v>
      </c>
      <c r="K1081" t="s">
        <v>170</v>
      </c>
      <c r="L1081">
        <v>5500000659</v>
      </c>
      <c r="M1081" t="s">
        <v>730</v>
      </c>
    </row>
    <row r="1082" spans="3:13">
      <c r="C1082">
        <v>2100300025</v>
      </c>
      <c r="D1082">
        <v>5811310</v>
      </c>
      <c r="E1082" t="s">
        <v>196</v>
      </c>
      <c r="F1082">
        <v>5105010125</v>
      </c>
      <c r="G1082">
        <v>714.9</v>
      </c>
      <c r="I1082" t="s">
        <v>160</v>
      </c>
      <c r="J1082" t="s">
        <v>589</v>
      </c>
      <c r="K1082" t="s">
        <v>170</v>
      </c>
      <c r="L1082">
        <v>5500000736</v>
      </c>
      <c r="M1082" t="s">
        <v>731</v>
      </c>
    </row>
    <row r="1083" spans="3:13">
      <c r="C1083">
        <v>2100300025</v>
      </c>
      <c r="D1083">
        <v>5811310</v>
      </c>
      <c r="E1083" t="s">
        <v>196</v>
      </c>
      <c r="F1083">
        <v>5105010125</v>
      </c>
      <c r="G1083" s="13">
        <v>1751.71</v>
      </c>
      <c r="I1083" t="s">
        <v>160</v>
      </c>
      <c r="J1083" t="s">
        <v>589</v>
      </c>
      <c r="K1083" t="s">
        <v>170</v>
      </c>
      <c r="L1083">
        <v>5500000736</v>
      </c>
      <c r="M1083" t="s">
        <v>731</v>
      </c>
    </row>
    <row r="1084" spans="3:13">
      <c r="C1084">
        <v>2100300025</v>
      </c>
      <c r="D1084">
        <v>5811310</v>
      </c>
      <c r="E1084" t="s">
        <v>196</v>
      </c>
      <c r="F1084">
        <v>5105010125</v>
      </c>
      <c r="G1084">
        <v>691.84</v>
      </c>
      <c r="I1084" t="s">
        <v>160</v>
      </c>
      <c r="J1084" t="s">
        <v>591</v>
      </c>
      <c r="K1084" t="s">
        <v>170</v>
      </c>
      <c r="L1084">
        <v>5500000813</v>
      </c>
      <c r="M1084" t="s">
        <v>732</v>
      </c>
    </row>
    <row r="1085" spans="3:13">
      <c r="C1085">
        <v>2100300025</v>
      </c>
      <c r="D1085">
        <v>5811310</v>
      </c>
      <c r="E1085" t="s">
        <v>196</v>
      </c>
      <c r="F1085">
        <v>5105010125</v>
      </c>
      <c r="G1085" s="13">
        <v>1695.21</v>
      </c>
      <c r="I1085" t="s">
        <v>160</v>
      </c>
      <c r="J1085" t="s">
        <v>591</v>
      </c>
      <c r="K1085" t="s">
        <v>170</v>
      </c>
      <c r="L1085">
        <v>5500000813</v>
      </c>
      <c r="M1085" t="s">
        <v>732</v>
      </c>
    </row>
    <row r="1086" spans="3:13">
      <c r="C1086">
        <v>2100300025</v>
      </c>
      <c r="D1086">
        <v>5931000</v>
      </c>
      <c r="E1086" t="s">
        <v>188</v>
      </c>
      <c r="F1086">
        <v>5105010125</v>
      </c>
      <c r="G1086" s="13">
        <v>3937.99</v>
      </c>
      <c r="I1086" t="s">
        <v>160</v>
      </c>
      <c r="J1086" t="s">
        <v>571</v>
      </c>
      <c r="K1086" t="s">
        <v>170</v>
      </c>
      <c r="L1086">
        <v>5500000056</v>
      </c>
      <c r="M1086" t="s">
        <v>712</v>
      </c>
    </row>
    <row r="1087" spans="3:13">
      <c r="C1087">
        <v>2100300025</v>
      </c>
      <c r="D1087">
        <v>5931000</v>
      </c>
      <c r="E1087" t="s">
        <v>188</v>
      </c>
      <c r="F1087">
        <v>5105010125</v>
      </c>
      <c r="G1087" s="13">
        <v>1631.2</v>
      </c>
      <c r="I1087" t="s">
        <v>160</v>
      </c>
      <c r="J1087" t="s">
        <v>573</v>
      </c>
      <c r="K1087" t="s">
        <v>170</v>
      </c>
      <c r="L1087">
        <v>5500000129</v>
      </c>
      <c r="M1087" t="s">
        <v>713</v>
      </c>
    </row>
    <row r="1088" spans="3:13">
      <c r="C1088">
        <v>2100300025</v>
      </c>
      <c r="D1088">
        <v>5931000</v>
      </c>
      <c r="E1088" t="s">
        <v>188</v>
      </c>
      <c r="F1088">
        <v>5105010125</v>
      </c>
      <c r="G1088" s="13">
        <v>1631.2</v>
      </c>
      <c r="I1088" t="s">
        <v>160</v>
      </c>
      <c r="J1088" t="s">
        <v>575</v>
      </c>
      <c r="K1088" t="s">
        <v>170</v>
      </c>
      <c r="L1088">
        <v>5500000203</v>
      </c>
      <c r="M1088" t="s">
        <v>714</v>
      </c>
    </row>
    <row r="1089" spans="3:13">
      <c r="C1089">
        <v>2100300025</v>
      </c>
      <c r="D1089">
        <v>5931000</v>
      </c>
      <c r="E1089" t="s">
        <v>188</v>
      </c>
      <c r="F1089">
        <v>5105010125</v>
      </c>
      <c r="G1089" s="13">
        <v>1473.34</v>
      </c>
      <c r="I1089" t="s">
        <v>160</v>
      </c>
      <c r="J1089" t="s">
        <v>577</v>
      </c>
      <c r="K1089" t="s">
        <v>170</v>
      </c>
      <c r="L1089">
        <v>5500000278</v>
      </c>
      <c r="M1089" t="s">
        <v>715</v>
      </c>
    </row>
    <row r="1090" spans="3:13">
      <c r="C1090">
        <v>2100300025</v>
      </c>
      <c r="D1090">
        <v>5931000</v>
      </c>
      <c r="E1090" t="s">
        <v>188</v>
      </c>
      <c r="F1090">
        <v>5105010125</v>
      </c>
      <c r="G1090" s="13">
        <v>1322.22</v>
      </c>
      <c r="I1090" t="s">
        <v>160</v>
      </c>
      <c r="J1090" t="s">
        <v>579</v>
      </c>
      <c r="K1090" t="s">
        <v>170</v>
      </c>
      <c r="L1090">
        <v>5500000354</v>
      </c>
      <c r="M1090" t="s">
        <v>716</v>
      </c>
    </row>
    <row r="1091" spans="3:13">
      <c r="C1091">
        <v>2100300025</v>
      </c>
      <c r="D1091">
        <v>5931000</v>
      </c>
      <c r="E1091" t="s">
        <v>188</v>
      </c>
      <c r="F1091">
        <v>5105010125</v>
      </c>
      <c r="G1091">
        <v>63.78</v>
      </c>
      <c r="I1091" t="s">
        <v>160</v>
      </c>
      <c r="J1091" t="s">
        <v>581</v>
      </c>
      <c r="K1091" t="s">
        <v>170</v>
      </c>
      <c r="L1091">
        <v>5500000429</v>
      </c>
      <c r="M1091" t="s">
        <v>717</v>
      </c>
    </row>
    <row r="1092" spans="3:13">
      <c r="C1092">
        <v>2100300025</v>
      </c>
      <c r="D1092">
        <v>5926000</v>
      </c>
      <c r="E1092" t="s">
        <v>188</v>
      </c>
      <c r="F1092">
        <v>5105010125</v>
      </c>
      <c r="G1092" s="13">
        <v>1134287.31</v>
      </c>
      <c r="I1092" t="s">
        <v>160</v>
      </c>
      <c r="J1092" t="s">
        <v>571</v>
      </c>
      <c r="K1092" t="s">
        <v>170</v>
      </c>
      <c r="L1092">
        <v>5500000056</v>
      </c>
      <c r="M1092" t="s">
        <v>712</v>
      </c>
    </row>
    <row r="1093" spans="3:13">
      <c r="C1093">
        <v>2100300025</v>
      </c>
      <c r="D1093">
        <v>5926000</v>
      </c>
      <c r="E1093" t="s">
        <v>188</v>
      </c>
      <c r="F1093">
        <v>5105010125</v>
      </c>
      <c r="G1093" s="13">
        <v>537327.91</v>
      </c>
      <c r="I1093" t="s">
        <v>160</v>
      </c>
      <c r="J1093" t="s">
        <v>573</v>
      </c>
      <c r="K1093" t="s">
        <v>170</v>
      </c>
      <c r="L1093">
        <v>5500000129</v>
      </c>
      <c r="M1093" t="s">
        <v>713</v>
      </c>
    </row>
    <row r="1094" spans="3:13">
      <c r="C1094">
        <v>2100300025</v>
      </c>
      <c r="D1094">
        <v>5926000</v>
      </c>
      <c r="E1094" t="s">
        <v>188</v>
      </c>
      <c r="F1094">
        <v>5105010125</v>
      </c>
      <c r="G1094" s="13">
        <v>531545.73</v>
      </c>
      <c r="I1094" t="s">
        <v>160</v>
      </c>
      <c r="J1094" t="s">
        <v>575</v>
      </c>
      <c r="K1094" t="s">
        <v>170</v>
      </c>
      <c r="L1094">
        <v>5500000203</v>
      </c>
      <c r="M1094" t="s">
        <v>714</v>
      </c>
    </row>
    <row r="1095" spans="3:13">
      <c r="C1095">
        <v>2100300025</v>
      </c>
      <c r="D1095">
        <v>5926000</v>
      </c>
      <c r="E1095" t="s">
        <v>188</v>
      </c>
      <c r="F1095">
        <v>5105010125</v>
      </c>
      <c r="G1095" s="13">
        <v>424945.69</v>
      </c>
      <c r="I1095" t="s">
        <v>160</v>
      </c>
      <c r="J1095" t="s">
        <v>577</v>
      </c>
      <c r="K1095" t="s">
        <v>170</v>
      </c>
      <c r="L1095">
        <v>5500000278</v>
      </c>
      <c r="M1095" t="s">
        <v>715</v>
      </c>
    </row>
    <row r="1096" spans="3:13">
      <c r="C1096">
        <v>2100300025</v>
      </c>
      <c r="D1096">
        <v>5926000</v>
      </c>
      <c r="E1096" t="s">
        <v>188</v>
      </c>
      <c r="F1096">
        <v>5105010125</v>
      </c>
      <c r="G1096" s="13">
        <v>440140.16</v>
      </c>
      <c r="I1096" t="s">
        <v>160</v>
      </c>
      <c r="J1096" t="s">
        <v>579</v>
      </c>
      <c r="K1096" t="s">
        <v>170</v>
      </c>
      <c r="L1096">
        <v>5500000354</v>
      </c>
      <c r="M1096" t="s">
        <v>716</v>
      </c>
    </row>
    <row r="1097" spans="3:13">
      <c r="C1097">
        <v>2100300025</v>
      </c>
      <c r="D1097">
        <v>5926000</v>
      </c>
      <c r="E1097" t="s">
        <v>188</v>
      </c>
      <c r="F1097">
        <v>5105010125</v>
      </c>
      <c r="G1097" s="13">
        <v>421953.57</v>
      </c>
      <c r="I1097" t="s">
        <v>160</v>
      </c>
      <c r="J1097" t="s">
        <v>581</v>
      </c>
      <c r="K1097" t="s">
        <v>170</v>
      </c>
      <c r="L1097">
        <v>5500000429</v>
      </c>
      <c r="M1097" t="s">
        <v>717</v>
      </c>
    </row>
    <row r="1098" spans="3:13">
      <c r="C1098">
        <v>2100300025</v>
      </c>
      <c r="D1098">
        <v>5926000</v>
      </c>
      <c r="E1098" t="s">
        <v>188</v>
      </c>
      <c r="F1098">
        <v>5105010125</v>
      </c>
      <c r="G1098" s="13">
        <v>433033.86</v>
      </c>
      <c r="I1098" t="s">
        <v>160</v>
      </c>
      <c r="J1098" t="s">
        <v>583</v>
      </c>
      <c r="K1098" t="s">
        <v>170</v>
      </c>
      <c r="L1098">
        <v>5500000506</v>
      </c>
      <c r="M1098" t="s">
        <v>718</v>
      </c>
    </row>
    <row r="1099" spans="3:13">
      <c r="C1099">
        <v>2100300025</v>
      </c>
      <c r="D1099">
        <v>5926000</v>
      </c>
      <c r="E1099" t="s">
        <v>188</v>
      </c>
      <c r="F1099">
        <v>5105010125</v>
      </c>
      <c r="G1099" s="13">
        <v>386153.63</v>
      </c>
      <c r="I1099" t="s">
        <v>160</v>
      </c>
      <c r="J1099" t="s">
        <v>585</v>
      </c>
      <c r="K1099" t="s">
        <v>170</v>
      </c>
      <c r="L1099">
        <v>5500000583</v>
      </c>
      <c r="M1099" t="s">
        <v>719</v>
      </c>
    </row>
    <row r="1100" spans="3:13">
      <c r="C1100">
        <v>2100300025</v>
      </c>
      <c r="D1100">
        <v>5926000</v>
      </c>
      <c r="E1100" t="s">
        <v>188</v>
      </c>
      <c r="F1100">
        <v>5105010125</v>
      </c>
      <c r="G1100" s="13">
        <v>296832.44</v>
      </c>
      <c r="I1100" t="s">
        <v>160</v>
      </c>
      <c r="J1100" t="s">
        <v>587</v>
      </c>
      <c r="K1100" t="s">
        <v>170</v>
      </c>
      <c r="L1100">
        <v>5500000660</v>
      </c>
      <c r="M1100" t="s">
        <v>720</v>
      </c>
    </row>
    <row r="1101" spans="3:13">
      <c r="C1101">
        <v>2100300025</v>
      </c>
      <c r="D1101">
        <v>5926000</v>
      </c>
      <c r="E1101" t="s">
        <v>188</v>
      </c>
      <c r="F1101">
        <v>5105010125</v>
      </c>
      <c r="G1101" s="13">
        <v>110657.12</v>
      </c>
      <c r="I1101" t="s">
        <v>160</v>
      </c>
      <c r="J1101" t="s">
        <v>589</v>
      </c>
      <c r="K1101" t="s">
        <v>170</v>
      </c>
      <c r="L1101">
        <v>5500000737</v>
      </c>
      <c r="M1101" t="s">
        <v>721</v>
      </c>
    </row>
    <row r="1102" spans="3:13">
      <c r="C1102">
        <v>2100300025</v>
      </c>
      <c r="D1102">
        <v>5911310</v>
      </c>
      <c r="E1102" t="s">
        <v>197</v>
      </c>
      <c r="F1102">
        <v>5105010125</v>
      </c>
      <c r="G1102" s="13">
        <v>353413.45</v>
      </c>
      <c r="I1102" t="s">
        <v>160</v>
      </c>
      <c r="J1102" t="s">
        <v>571</v>
      </c>
      <c r="K1102" t="s">
        <v>170</v>
      </c>
      <c r="L1102">
        <v>5500000055</v>
      </c>
      <c r="M1102" t="s">
        <v>722</v>
      </c>
    </row>
    <row r="1103" spans="3:13">
      <c r="C1103">
        <v>2100300025</v>
      </c>
      <c r="D1103">
        <v>5911310</v>
      </c>
      <c r="E1103" t="s">
        <v>197</v>
      </c>
      <c r="F1103">
        <v>5105010125</v>
      </c>
      <c r="G1103" s="13">
        <v>212144.03</v>
      </c>
      <c r="I1103" t="s">
        <v>160</v>
      </c>
      <c r="J1103" t="s">
        <v>571</v>
      </c>
      <c r="K1103" t="s">
        <v>170</v>
      </c>
      <c r="L1103">
        <v>5500000055</v>
      </c>
      <c r="M1103" t="s">
        <v>722</v>
      </c>
    </row>
    <row r="1104" spans="3:13">
      <c r="C1104">
        <v>2100300025</v>
      </c>
      <c r="D1104">
        <v>5911310</v>
      </c>
      <c r="E1104" t="s">
        <v>197</v>
      </c>
      <c r="F1104">
        <v>5105010125</v>
      </c>
      <c r="G1104" s="13">
        <v>818007.27</v>
      </c>
      <c r="I1104" t="s">
        <v>160</v>
      </c>
      <c r="J1104" t="s">
        <v>571</v>
      </c>
      <c r="K1104" t="s">
        <v>170</v>
      </c>
      <c r="L1104">
        <v>5500000055</v>
      </c>
      <c r="M1104" t="s">
        <v>722</v>
      </c>
    </row>
    <row r="1105" spans="3:13">
      <c r="C1105">
        <v>2100300025</v>
      </c>
      <c r="D1105">
        <v>5911310</v>
      </c>
      <c r="E1105" t="s">
        <v>197</v>
      </c>
      <c r="F1105">
        <v>5105010125</v>
      </c>
      <c r="G1105" s="13">
        <v>179603.55</v>
      </c>
      <c r="I1105" t="s">
        <v>160</v>
      </c>
      <c r="J1105" t="s">
        <v>573</v>
      </c>
      <c r="K1105" t="s">
        <v>170</v>
      </c>
      <c r="L1105">
        <v>5500000129</v>
      </c>
      <c r="M1105" t="s">
        <v>713</v>
      </c>
    </row>
    <row r="1106" spans="3:13">
      <c r="C1106">
        <v>2100300025</v>
      </c>
      <c r="D1106">
        <v>5911310</v>
      </c>
      <c r="E1106" t="s">
        <v>197</v>
      </c>
      <c r="F1106">
        <v>5105010125</v>
      </c>
      <c r="G1106" s="13">
        <v>107810.9</v>
      </c>
      <c r="I1106" t="s">
        <v>160</v>
      </c>
      <c r="J1106" t="s">
        <v>573</v>
      </c>
      <c r="K1106" t="s">
        <v>170</v>
      </c>
      <c r="L1106">
        <v>5500000129</v>
      </c>
      <c r="M1106" t="s">
        <v>713</v>
      </c>
    </row>
    <row r="1107" spans="3:13">
      <c r="C1107">
        <v>2100300025</v>
      </c>
      <c r="D1107">
        <v>5911310</v>
      </c>
      <c r="E1107" t="s">
        <v>197</v>
      </c>
      <c r="F1107">
        <v>5105010125</v>
      </c>
      <c r="G1107" s="13">
        <v>415708.61</v>
      </c>
      <c r="I1107" t="s">
        <v>160</v>
      </c>
      <c r="J1107" t="s">
        <v>573</v>
      </c>
      <c r="K1107" t="s">
        <v>170</v>
      </c>
      <c r="L1107">
        <v>5500000129</v>
      </c>
      <c r="M1107" t="s">
        <v>713</v>
      </c>
    </row>
    <row r="1108" spans="3:13">
      <c r="C1108">
        <v>2100300025</v>
      </c>
      <c r="D1108">
        <v>5911310</v>
      </c>
      <c r="E1108" t="s">
        <v>197</v>
      </c>
      <c r="F1108">
        <v>5105010125</v>
      </c>
      <c r="G1108" s="13">
        <v>179603.56</v>
      </c>
      <c r="I1108" t="s">
        <v>160</v>
      </c>
      <c r="J1108" t="s">
        <v>575</v>
      </c>
      <c r="K1108" t="s">
        <v>170</v>
      </c>
      <c r="L1108">
        <v>5500000202</v>
      </c>
      <c r="M1108" t="s">
        <v>724</v>
      </c>
    </row>
    <row r="1109" spans="3:13">
      <c r="C1109">
        <v>2100300025</v>
      </c>
      <c r="D1109">
        <v>5911310</v>
      </c>
      <c r="E1109" t="s">
        <v>197</v>
      </c>
      <c r="F1109">
        <v>5105010125</v>
      </c>
      <c r="G1109" s="13">
        <v>107810.9</v>
      </c>
      <c r="I1109" t="s">
        <v>160</v>
      </c>
      <c r="J1109" t="s">
        <v>575</v>
      </c>
      <c r="K1109" t="s">
        <v>170</v>
      </c>
      <c r="L1109">
        <v>5500000202</v>
      </c>
      <c r="M1109" t="s">
        <v>724</v>
      </c>
    </row>
    <row r="1110" spans="3:13">
      <c r="C1110">
        <v>2100300025</v>
      </c>
      <c r="D1110">
        <v>5911310</v>
      </c>
      <c r="E1110" t="s">
        <v>197</v>
      </c>
      <c r="F1110">
        <v>5105010125</v>
      </c>
      <c r="G1110" s="13">
        <v>415708.62</v>
      </c>
      <c r="I1110" t="s">
        <v>160</v>
      </c>
      <c r="J1110" t="s">
        <v>575</v>
      </c>
      <c r="K1110" t="s">
        <v>170</v>
      </c>
      <c r="L1110">
        <v>5500000202</v>
      </c>
      <c r="M1110" t="s">
        <v>724</v>
      </c>
    </row>
    <row r="1111" spans="3:13">
      <c r="C1111">
        <v>2100300025</v>
      </c>
      <c r="D1111">
        <v>5911310</v>
      </c>
      <c r="E1111" t="s">
        <v>197</v>
      </c>
      <c r="F1111">
        <v>5105010125</v>
      </c>
      <c r="G1111" s="13">
        <v>162222.57</v>
      </c>
      <c r="I1111" t="s">
        <v>160</v>
      </c>
      <c r="J1111" t="s">
        <v>577</v>
      </c>
      <c r="K1111" t="s">
        <v>170</v>
      </c>
      <c r="L1111">
        <v>5500000277</v>
      </c>
      <c r="M1111" t="s">
        <v>725</v>
      </c>
    </row>
    <row r="1112" spans="3:13">
      <c r="C1112">
        <v>2100300025</v>
      </c>
      <c r="D1112">
        <v>5911310</v>
      </c>
      <c r="E1112" t="s">
        <v>197</v>
      </c>
      <c r="F1112">
        <v>5105010125</v>
      </c>
      <c r="G1112" s="13">
        <v>97377.59</v>
      </c>
      <c r="I1112" t="s">
        <v>160</v>
      </c>
      <c r="J1112" t="s">
        <v>577</v>
      </c>
      <c r="K1112" t="s">
        <v>170</v>
      </c>
      <c r="L1112">
        <v>5500000277</v>
      </c>
      <c r="M1112" t="s">
        <v>725</v>
      </c>
    </row>
    <row r="1113" spans="3:13">
      <c r="C1113">
        <v>2100300025</v>
      </c>
      <c r="D1113">
        <v>5911310</v>
      </c>
      <c r="E1113" t="s">
        <v>197</v>
      </c>
      <c r="F1113">
        <v>5105010125</v>
      </c>
      <c r="G1113" s="13">
        <v>375478.74</v>
      </c>
      <c r="I1113" t="s">
        <v>160</v>
      </c>
      <c r="J1113" t="s">
        <v>577</v>
      </c>
      <c r="K1113" t="s">
        <v>170</v>
      </c>
      <c r="L1113">
        <v>5500000277</v>
      </c>
      <c r="M1113" t="s">
        <v>725</v>
      </c>
    </row>
    <row r="1114" spans="3:13">
      <c r="C1114">
        <v>2100300025</v>
      </c>
      <c r="D1114">
        <v>5911310</v>
      </c>
      <c r="E1114" t="s">
        <v>197</v>
      </c>
      <c r="F1114">
        <v>5105010125</v>
      </c>
      <c r="G1114" s="13">
        <v>115872.26</v>
      </c>
      <c r="I1114" t="s">
        <v>160</v>
      </c>
      <c r="J1114" t="s">
        <v>579</v>
      </c>
      <c r="K1114" t="s">
        <v>170</v>
      </c>
      <c r="L1114">
        <v>5500000353</v>
      </c>
      <c r="M1114" t="s">
        <v>726</v>
      </c>
    </row>
    <row r="1115" spans="3:13">
      <c r="C1115">
        <v>2100300025</v>
      </c>
      <c r="D1115">
        <v>5911310</v>
      </c>
      <c r="E1115" t="s">
        <v>197</v>
      </c>
      <c r="F1115">
        <v>5105010125</v>
      </c>
      <c r="G1115" s="13">
        <v>107809.9</v>
      </c>
      <c r="I1115" t="s">
        <v>160</v>
      </c>
      <c r="J1115" t="s">
        <v>579</v>
      </c>
      <c r="K1115" t="s">
        <v>170</v>
      </c>
      <c r="L1115">
        <v>5500000353</v>
      </c>
      <c r="M1115" t="s">
        <v>726</v>
      </c>
    </row>
    <row r="1116" spans="3:13">
      <c r="C1116">
        <v>2100300025</v>
      </c>
      <c r="D1116">
        <v>5911310</v>
      </c>
      <c r="E1116" t="s">
        <v>197</v>
      </c>
      <c r="F1116">
        <v>5105010125</v>
      </c>
      <c r="G1116" s="13">
        <v>40228.870000000003</v>
      </c>
      <c r="I1116" t="s">
        <v>160</v>
      </c>
      <c r="J1116" t="s">
        <v>579</v>
      </c>
      <c r="K1116" t="s">
        <v>170</v>
      </c>
      <c r="L1116">
        <v>5500000353</v>
      </c>
      <c r="M1116" t="s">
        <v>726</v>
      </c>
    </row>
    <row r="1117" spans="3:13">
      <c r="C1117">
        <v>2100300025</v>
      </c>
      <c r="D1117">
        <v>6031000</v>
      </c>
      <c r="E1117" t="s">
        <v>188</v>
      </c>
      <c r="F1117">
        <v>5105010125</v>
      </c>
      <c r="G1117" s="13">
        <v>1838.33</v>
      </c>
      <c r="I1117" t="s">
        <v>160</v>
      </c>
      <c r="J1117" t="s">
        <v>571</v>
      </c>
      <c r="K1117" t="s">
        <v>170</v>
      </c>
      <c r="L1117">
        <v>5500000056</v>
      </c>
      <c r="M1117" t="s">
        <v>712</v>
      </c>
    </row>
    <row r="1118" spans="3:13">
      <c r="C1118">
        <v>2100300025</v>
      </c>
      <c r="D1118">
        <v>6031000</v>
      </c>
      <c r="E1118" t="s">
        <v>188</v>
      </c>
      <c r="F1118">
        <v>5105010125</v>
      </c>
      <c r="G1118">
        <v>934.24</v>
      </c>
      <c r="I1118" t="s">
        <v>160</v>
      </c>
      <c r="J1118" t="s">
        <v>573</v>
      </c>
      <c r="K1118" t="s">
        <v>170</v>
      </c>
      <c r="L1118">
        <v>5500000130</v>
      </c>
      <c r="M1118" t="s">
        <v>733</v>
      </c>
    </row>
    <row r="1119" spans="3:13">
      <c r="C1119">
        <v>2100300025</v>
      </c>
      <c r="D1119">
        <v>6031000</v>
      </c>
      <c r="E1119" t="s">
        <v>188</v>
      </c>
      <c r="F1119">
        <v>5105010125</v>
      </c>
      <c r="G1119">
        <v>780.88</v>
      </c>
      <c r="I1119" t="s">
        <v>160</v>
      </c>
      <c r="J1119" t="s">
        <v>575</v>
      </c>
      <c r="K1119" t="s">
        <v>170</v>
      </c>
      <c r="L1119">
        <v>5500000203</v>
      </c>
      <c r="M1119" t="s">
        <v>714</v>
      </c>
    </row>
    <row r="1120" spans="3:13">
      <c r="C1120">
        <v>2100300025</v>
      </c>
      <c r="D1120">
        <v>6031000</v>
      </c>
      <c r="E1120" t="s">
        <v>188</v>
      </c>
      <c r="F1120">
        <v>5105010125</v>
      </c>
      <c r="G1120">
        <v>536.97</v>
      </c>
      <c r="I1120" t="s">
        <v>160</v>
      </c>
      <c r="J1120" t="s">
        <v>577</v>
      </c>
      <c r="K1120" t="s">
        <v>170</v>
      </c>
      <c r="L1120">
        <v>5500000278</v>
      </c>
      <c r="M1120" t="s">
        <v>715</v>
      </c>
    </row>
    <row r="1121" spans="3:13">
      <c r="C1121">
        <v>2100300025</v>
      </c>
      <c r="D1121">
        <v>6031000</v>
      </c>
      <c r="E1121" t="s">
        <v>188</v>
      </c>
      <c r="F1121">
        <v>5105010125</v>
      </c>
      <c r="G1121">
        <v>594.51</v>
      </c>
      <c r="I1121" t="s">
        <v>160</v>
      </c>
      <c r="J1121" t="s">
        <v>579</v>
      </c>
      <c r="K1121" t="s">
        <v>170</v>
      </c>
      <c r="L1121">
        <v>5500000354</v>
      </c>
      <c r="M1121" t="s">
        <v>716</v>
      </c>
    </row>
    <row r="1122" spans="3:13">
      <c r="C1122">
        <v>2100300025</v>
      </c>
      <c r="D1122">
        <v>6031000</v>
      </c>
      <c r="E1122" t="s">
        <v>188</v>
      </c>
      <c r="F1122">
        <v>5105010125</v>
      </c>
      <c r="G1122">
        <v>575.33000000000004</v>
      </c>
      <c r="I1122" t="s">
        <v>160</v>
      </c>
      <c r="J1122" t="s">
        <v>581</v>
      </c>
      <c r="K1122" t="s">
        <v>170</v>
      </c>
      <c r="L1122">
        <v>5500000429</v>
      </c>
      <c r="M1122" t="s">
        <v>717</v>
      </c>
    </row>
    <row r="1123" spans="3:13">
      <c r="C1123">
        <v>2100300025</v>
      </c>
      <c r="D1123">
        <v>6031000</v>
      </c>
      <c r="E1123" t="s">
        <v>188</v>
      </c>
      <c r="F1123">
        <v>5105010125</v>
      </c>
      <c r="G1123">
        <v>594.51</v>
      </c>
      <c r="I1123" t="s">
        <v>160</v>
      </c>
      <c r="J1123" t="s">
        <v>583</v>
      </c>
      <c r="K1123" t="s">
        <v>170</v>
      </c>
      <c r="L1123">
        <v>5500000506</v>
      </c>
      <c r="M1123" t="s">
        <v>718</v>
      </c>
    </row>
    <row r="1124" spans="3:13">
      <c r="C1124">
        <v>2100300025</v>
      </c>
      <c r="D1124">
        <v>6031000</v>
      </c>
      <c r="E1124" t="s">
        <v>188</v>
      </c>
      <c r="F1124">
        <v>5105010125</v>
      </c>
      <c r="G1124">
        <v>575.4</v>
      </c>
      <c r="I1124" t="s">
        <v>160</v>
      </c>
      <c r="J1124" t="s">
        <v>585</v>
      </c>
      <c r="K1124" t="s">
        <v>170</v>
      </c>
      <c r="L1124">
        <v>5500000583</v>
      </c>
      <c r="M1124" t="s">
        <v>719</v>
      </c>
    </row>
    <row r="1125" spans="3:13">
      <c r="C1125">
        <v>2100300025</v>
      </c>
      <c r="D1125">
        <v>6031000</v>
      </c>
      <c r="E1125" t="s">
        <v>188</v>
      </c>
      <c r="F1125">
        <v>5105010125</v>
      </c>
      <c r="G1125">
        <v>594.51</v>
      </c>
      <c r="I1125" t="s">
        <v>160</v>
      </c>
      <c r="J1125" t="s">
        <v>587</v>
      </c>
      <c r="K1125" t="s">
        <v>170</v>
      </c>
      <c r="L1125">
        <v>5500000660</v>
      </c>
      <c r="M1125" t="s">
        <v>720</v>
      </c>
    </row>
    <row r="1126" spans="3:13">
      <c r="C1126">
        <v>2100300025</v>
      </c>
      <c r="D1126">
        <v>6031000</v>
      </c>
      <c r="E1126" t="s">
        <v>188</v>
      </c>
      <c r="F1126">
        <v>5105010125</v>
      </c>
      <c r="G1126">
        <v>594.51</v>
      </c>
      <c r="I1126" t="s">
        <v>160</v>
      </c>
      <c r="J1126" t="s">
        <v>589</v>
      </c>
      <c r="K1126" t="s">
        <v>170</v>
      </c>
      <c r="L1126">
        <v>5500000737</v>
      </c>
      <c r="M1126" t="s">
        <v>721</v>
      </c>
    </row>
    <row r="1127" spans="3:13">
      <c r="C1127">
        <v>2100300025</v>
      </c>
      <c r="D1127">
        <v>6026000</v>
      </c>
      <c r="E1127" t="s">
        <v>188</v>
      </c>
      <c r="F1127">
        <v>5105010125</v>
      </c>
      <c r="G1127" s="13">
        <v>247128.63</v>
      </c>
      <c r="I1127" t="s">
        <v>160</v>
      </c>
      <c r="J1127" t="s">
        <v>571</v>
      </c>
      <c r="K1127" t="s">
        <v>170</v>
      </c>
      <c r="L1127">
        <v>5500000056</v>
      </c>
      <c r="M1127" t="s">
        <v>712</v>
      </c>
    </row>
    <row r="1128" spans="3:13">
      <c r="C1128">
        <v>2100300025</v>
      </c>
      <c r="D1128">
        <v>6026000</v>
      </c>
      <c r="E1128" t="s">
        <v>188</v>
      </c>
      <c r="F1128">
        <v>5105010125</v>
      </c>
      <c r="G1128" s="13">
        <v>125590.02</v>
      </c>
      <c r="I1128" t="s">
        <v>160</v>
      </c>
      <c r="J1128" t="s">
        <v>573</v>
      </c>
      <c r="K1128" t="s">
        <v>170</v>
      </c>
      <c r="L1128">
        <v>5500000129</v>
      </c>
      <c r="M1128" t="s">
        <v>713</v>
      </c>
    </row>
    <row r="1129" spans="3:13">
      <c r="C1129">
        <v>2100300025</v>
      </c>
      <c r="D1129">
        <v>6026000</v>
      </c>
      <c r="E1129" t="s">
        <v>188</v>
      </c>
      <c r="F1129">
        <v>5105010125</v>
      </c>
      <c r="G1129" s="13">
        <v>125589.97</v>
      </c>
      <c r="I1129" t="s">
        <v>160</v>
      </c>
      <c r="J1129" t="s">
        <v>575</v>
      </c>
      <c r="K1129" t="s">
        <v>170</v>
      </c>
      <c r="L1129">
        <v>5500000203</v>
      </c>
      <c r="M1129" t="s">
        <v>714</v>
      </c>
    </row>
    <row r="1130" spans="3:13">
      <c r="C1130">
        <v>2100300025</v>
      </c>
      <c r="D1130">
        <v>6026000</v>
      </c>
      <c r="E1130" t="s">
        <v>188</v>
      </c>
      <c r="F1130">
        <v>5105010125</v>
      </c>
      <c r="G1130" s="13">
        <v>113435.98</v>
      </c>
      <c r="I1130" t="s">
        <v>160</v>
      </c>
      <c r="J1130" t="s">
        <v>577</v>
      </c>
      <c r="K1130" t="s">
        <v>170</v>
      </c>
      <c r="L1130">
        <v>5500000278</v>
      </c>
      <c r="M1130" t="s">
        <v>715</v>
      </c>
    </row>
    <row r="1131" spans="3:13">
      <c r="C1131">
        <v>2100300025</v>
      </c>
      <c r="D1131">
        <v>6026000</v>
      </c>
      <c r="E1131" t="s">
        <v>188</v>
      </c>
      <c r="F1131">
        <v>5105010125</v>
      </c>
      <c r="G1131" s="13">
        <v>125590.01</v>
      </c>
      <c r="I1131" t="s">
        <v>160</v>
      </c>
      <c r="J1131" t="s">
        <v>579</v>
      </c>
      <c r="K1131" t="s">
        <v>170</v>
      </c>
      <c r="L1131">
        <v>5500000354</v>
      </c>
      <c r="M1131" t="s">
        <v>716</v>
      </c>
    </row>
    <row r="1132" spans="3:13">
      <c r="C1132">
        <v>2100300025</v>
      </c>
      <c r="D1132">
        <v>6026000</v>
      </c>
      <c r="E1132" t="s">
        <v>188</v>
      </c>
      <c r="F1132">
        <v>5105010125</v>
      </c>
      <c r="G1132" s="13">
        <v>121538.6</v>
      </c>
      <c r="I1132" t="s">
        <v>160</v>
      </c>
      <c r="J1132" t="s">
        <v>581</v>
      </c>
      <c r="K1132" t="s">
        <v>170</v>
      </c>
      <c r="L1132">
        <v>5500000429</v>
      </c>
      <c r="M1132" t="s">
        <v>717</v>
      </c>
    </row>
    <row r="1133" spans="3:13">
      <c r="C1133">
        <v>2100300025</v>
      </c>
      <c r="D1133">
        <v>6026000</v>
      </c>
      <c r="E1133" t="s">
        <v>188</v>
      </c>
      <c r="F1133">
        <v>5105010125</v>
      </c>
      <c r="G1133" s="13">
        <v>125589.96</v>
      </c>
      <c r="I1133" t="s">
        <v>160</v>
      </c>
      <c r="J1133" t="s">
        <v>583</v>
      </c>
      <c r="K1133" t="s">
        <v>170</v>
      </c>
      <c r="L1133">
        <v>5500000506</v>
      </c>
      <c r="M1133" t="s">
        <v>718</v>
      </c>
    </row>
    <row r="1134" spans="3:13">
      <c r="C1134">
        <v>2100300025</v>
      </c>
      <c r="D1134">
        <v>6026000</v>
      </c>
      <c r="E1134" t="s">
        <v>188</v>
      </c>
      <c r="F1134">
        <v>5105010125</v>
      </c>
      <c r="G1134" s="13">
        <v>121538.58</v>
      </c>
      <c r="I1134" t="s">
        <v>160</v>
      </c>
      <c r="J1134" t="s">
        <v>585</v>
      </c>
      <c r="K1134" t="s">
        <v>170</v>
      </c>
      <c r="L1134">
        <v>5500000583</v>
      </c>
      <c r="M1134" t="s">
        <v>719</v>
      </c>
    </row>
    <row r="1135" spans="3:13">
      <c r="C1135">
        <v>2100300025</v>
      </c>
      <c r="D1135">
        <v>6026000</v>
      </c>
      <c r="E1135" t="s">
        <v>188</v>
      </c>
      <c r="F1135">
        <v>5105010125</v>
      </c>
      <c r="G1135" s="13">
        <v>125590.02</v>
      </c>
      <c r="I1135" t="s">
        <v>160</v>
      </c>
      <c r="J1135" t="s">
        <v>587</v>
      </c>
      <c r="K1135" t="s">
        <v>170</v>
      </c>
      <c r="L1135">
        <v>5500000660</v>
      </c>
      <c r="M1135" t="s">
        <v>720</v>
      </c>
    </row>
    <row r="1136" spans="3:13">
      <c r="C1136">
        <v>2100300025</v>
      </c>
      <c r="D1136">
        <v>6026000</v>
      </c>
      <c r="E1136" t="s">
        <v>188</v>
      </c>
      <c r="F1136">
        <v>5105010125</v>
      </c>
      <c r="G1136" s="13">
        <v>125518.78</v>
      </c>
      <c r="I1136" t="s">
        <v>160</v>
      </c>
      <c r="J1136" t="s">
        <v>589</v>
      </c>
      <c r="K1136" t="s">
        <v>170</v>
      </c>
      <c r="L1136">
        <v>5500000737</v>
      </c>
      <c r="M1136" t="s">
        <v>721</v>
      </c>
    </row>
    <row r="1137" spans="3:13">
      <c r="C1137">
        <v>2100300025</v>
      </c>
      <c r="D1137">
        <v>6011310</v>
      </c>
      <c r="E1137" t="s">
        <v>198</v>
      </c>
      <c r="F1137">
        <v>5105010125</v>
      </c>
      <c r="G1137" s="13">
        <v>5552069.5899999999</v>
      </c>
      <c r="I1137" t="s">
        <v>160</v>
      </c>
      <c r="J1137" t="s">
        <v>571</v>
      </c>
      <c r="K1137" t="s">
        <v>170</v>
      </c>
      <c r="L1137">
        <v>5500000055</v>
      </c>
      <c r="M1137" t="s">
        <v>722</v>
      </c>
    </row>
    <row r="1138" spans="3:13">
      <c r="C1138">
        <v>2100300025</v>
      </c>
      <c r="D1138">
        <v>6011310</v>
      </c>
      <c r="E1138" t="s">
        <v>198</v>
      </c>
      <c r="F1138">
        <v>5105010125</v>
      </c>
      <c r="G1138" s="13">
        <v>2821543.56</v>
      </c>
      <c r="I1138" t="s">
        <v>160</v>
      </c>
      <c r="J1138" t="s">
        <v>573</v>
      </c>
      <c r="K1138" t="s">
        <v>170</v>
      </c>
      <c r="L1138">
        <v>5500000129</v>
      </c>
      <c r="M1138" t="s">
        <v>713</v>
      </c>
    </row>
    <row r="1139" spans="3:13">
      <c r="C1139">
        <v>2100300025</v>
      </c>
      <c r="D1139">
        <v>6011310</v>
      </c>
      <c r="E1139" t="s">
        <v>198</v>
      </c>
      <c r="F1139">
        <v>5105010125</v>
      </c>
      <c r="G1139" s="13">
        <v>2821543.57</v>
      </c>
      <c r="I1139" t="s">
        <v>160</v>
      </c>
      <c r="J1139" t="s">
        <v>575</v>
      </c>
      <c r="K1139" t="s">
        <v>170</v>
      </c>
      <c r="L1139">
        <v>5500000202</v>
      </c>
      <c r="M1139" t="s">
        <v>724</v>
      </c>
    </row>
    <row r="1140" spans="3:13">
      <c r="C1140">
        <v>2100300025</v>
      </c>
      <c r="D1140">
        <v>6011310</v>
      </c>
      <c r="E1140" t="s">
        <v>198</v>
      </c>
      <c r="F1140">
        <v>5105010125</v>
      </c>
      <c r="G1140" s="13">
        <v>2548490.96</v>
      </c>
      <c r="I1140" t="s">
        <v>160</v>
      </c>
      <c r="J1140" t="s">
        <v>577</v>
      </c>
      <c r="K1140" t="s">
        <v>170</v>
      </c>
      <c r="L1140">
        <v>5500000277</v>
      </c>
      <c r="M1140" t="s">
        <v>725</v>
      </c>
    </row>
    <row r="1141" spans="3:13">
      <c r="C1141">
        <v>2100300025</v>
      </c>
      <c r="D1141">
        <v>6011310</v>
      </c>
      <c r="E1141" t="s">
        <v>198</v>
      </c>
      <c r="F1141">
        <v>5105010125</v>
      </c>
      <c r="G1141" s="13">
        <v>2821543.56</v>
      </c>
      <c r="I1141" t="s">
        <v>160</v>
      </c>
      <c r="J1141" t="s">
        <v>579</v>
      </c>
      <c r="K1141" t="s">
        <v>170</v>
      </c>
      <c r="L1141">
        <v>5500000353</v>
      </c>
      <c r="M1141" t="s">
        <v>726</v>
      </c>
    </row>
    <row r="1142" spans="3:13">
      <c r="C1142">
        <v>2100300025</v>
      </c>
      <c r="D1142">
        <v>6011310</v>
      </c>
      <c r="E1142" t="s">
        <v>198</v>
      </c>
      <c r="F1142">
        <v>5105010125</v>
      </c>
      <c r="G1142" s="13">
        <v>2730526.03</v>
      </c>
      <c r="I1142" t="s">
        <v>160</v>
      </c>
      <c r="J1142" t="s">
        <v>581</v>
      </c>
      <c r="K1142" t="s">
        <v>170</v>
      </c>
      <c r="L1142">
        <v>5500000428</v>
      </c>
      <c r="M1142" t="s">
        <v>727</v>
      </c>
    </row>
    <row r="1143" spans="3:13">
      <c r="C1143">
        <v>2100300025</v>
      </c>
      <c r="D1143">
        <v>6011310</v>
      </c>
      <c r="E1143" t="s">
        <v>198</v>
      </c>
      <c r="F1143">
        <v>5105010125</v>
      </c>
      <c r="G1143" s="13">
        <v>2821543.56</v>
      </c>
      <c r="I1143" t="s">
        <v>160</v>
      </c>
      <c r="J1143" t="s">
        <v>583</v>
      </c>
      <c r="K1143" t="s">
        <v>170</v>
      </c>
      <c r="L1143">
        <v>5500000505</v>
      </c>
      <c r="M1143" t="s">
        <v>728</v>
      </c>
    </row>
    <row r="1144" spans="3:13">
      <c r="C1144">
        <v>2100300025</v>
      </c>
      <c r="D1144">
        <v>6011310</v>
      </c>
      <c r="E1144" t="s">
        <v>198</v>
      </c>
      <c r="F1144">
        <v>5105010125</v>
      </c>
      <c r="G1144" s="13">
        <v>2730526.03</v>
      </c>
      <c r="I1144" t="s">
        <v>160</v>
      </c>
      <c r="J1144" t="s">
        <v>585</v>
      </c>
      <c r="K1144" t="s">
        <v>170</v>
      </c>
      <c r="L1144">
        <v>5500000582</v>
      </c>
      <c r="M1144" t="s">
        <v>729</v>
      </c>
    </row>
    <row r="1145" spans="3:13">
      <c r="C1145">
        <v>2100300025</v>
      </c>
      <c r="D1145">
        <v>6011310</v>
      </c>
      <c r="E1145" t="s">
        <v>198</v>
      </c>
      <c r="F1145">
        <v>5105010125</v>
      </c>
      <c r="G1145" s="13">
        <v>2821543.56</v>
      </c>
      <c r="I1145" t="s">
        <v>160</v>
      </c>
      <c r="J1145" t="s">
        <v>587</v>
      </c>
      <c r="K1145" t="s">
        <v>170</v>
      </c>
      <c r="L1145">
        <v>5500000659</v>
      </c>
      <c r="M1145" t="s">
        <v>730</v>
      </c>
    </row>
    <row r="1146" spans="3:13">
      <c r="C1146">
        <v>2100300025</v>
      </c>
      <c r="D1146">
        <v>6011310</v>
      </c>
      <c r="E1146" t="s">
        <v>198</v>
      </c>
      <c r="F1146">
        <v>5105010125</v>
      </c>
      <c r="G1146" s="13">
        <v>2821543.56</v>
      </c>
      <c r="I1146" t="s">
        <v>160</v>
      </c>
      <c r="J1146" t="s">
        <v>589</v>
      </c>
      <c r="K1146" t="s">
        <v>170</v>
      </c>
      <c r="L1146">
        <v>5500000736</v>
      </c>
      <c r="M1146" t="s">
        <v>731</v>
      </c>
    </row>
    <row r="1147" spans="3:13">
      <c r="C1147">
        <v>2100300025</v>
      </c>
      <c r="D1147">
        <v>6011310</v>
      </c>
      <c r="E1147" t="s">
        <v>198</v>
      </c>
      <c r="F1147">
        <v>5105010125</v>
      </c>
      <c r="G1147" s="13">
        <v>2730526.03</v>
      </c>
      <c r="I1147" t="s">
        <v>160</v>
      </c>
      <c r="J1147" t="s">
        <v>591</v>
      </c>
      <c r="K1147" t="s">
        <v>170</v>
      </c>
      <c r="L1147">
        <v>5500000813</v>
      </c>
      <c r="M1147" t="s">
        <v>732</v>
      </c>
    </row>
    <row r="1148" spans="3:13">
      <c r="C1148">
        <v>2100300025</v>
      </c>
      <c r="D1148">
        <v>6126000</v>
      </c>
      <c r="E1148" t="s">
        <v>188</v>
      </c>
      <c r="F1148">
        <v>5105010125</v>
      </c>
      <c r="G1148" s="13">
        <v>337614.79</v>
      </c>
      <c r="I1148" t="s">
        <v>160</v>
      </c>
      <c r="J1148" t="s">
        <v>571</v>
      </c>
      <c r="K1148" t="s">
        <v>170</v>
      </c>
      <c r="L1148">
        <v>5500000056</v>
      </c>
      <c r="M1148" t="s">
        <v>712</v>
      </c>
    </row>
    <row r="1149" spans="3:13">
      <c r="C1149">
        <v>2100300025</v>
      </c>
      <c r="D1149">
        <v>6126000</v>
      </c>
      <c r="E1149" t="s">
        <v>188</v>
      </c>
      <c r="F1149">
        <v>5105010125</v>
      </c>
      <c r="G1149" s="13">
        <v>171574.67</v>
      </c>
      <c r="I1149" t="s">
        <v>160</v>
      </c>
      <c r="J1149" t="s">
        <v>573</v>
      </c>
      <c r="K1149" t="s">
        <v>170</v>
      </c>
      <c r="L1149">
        <v>5500000130</v>
      </c>
      <c r="M1149" t="s">
        <v>733</v>
      </c>
    </row>
    <row r="1150" spans="3:13">
      <c r="C1150">
        <v>2100300025</v>
      </c>
      <c r="D1150">
        <v>6126000</v>
      </c>
      <c r="E1150" t="s">
        <v>188</v>
      </c>
      <c r="F1150">
        <v>5105010125</v>
      </c>
      <c r="G1150" s="13">
        <v>171574.79</v>
      </c>
      <c r="I1150" t="s">
        <v>160</v>
      </c>
      <c r="J1150" t="s">
        <v>575</v>
      </c>
      <c r="K1150" t="s">
        <v>170</v>
      </c>
      <c r="L1150">
        <v>5500000203</v>
      </c>
      <c r="M1150" t="s">
        <v>714</v>
      </c>
    </row>
    <row r="1151" spans="3:13">
      <c r="C1151">
        <v>2100300025</v>
      </c>
      <c r="D1151">
        <v>6126000</v>
      </c>
      <c r="E1151" t="s">
        <v>188</v>
      </c>
      <c r="F1151">
        <v>5105010125</v>
      </c>
      <c r="G1151" s="13">
        <v>154970.70000000001</v>
      </c>
      <c r="I1151" t="s">
        <v>160</v>
      </c>
      <c r="J1151" t="s">
        <v>577</v>
      </c>
      <c r="K1151" t="s">
        <v>170</v>
      </c>
      <c r="L1151">
        <v>5500000278</v>
      </c>
      <c r="M1151" t="s">
        <v>715</v>
      </c>
    </row>
    <row r="1152" spans="3:13">
      <c r="C1152">
        <v>2100300025</v>
      </c>
      <c r="D1152">
        <v>6126000</v>
      </c>
      <c r="E1152" t="s">
        <v>188</v>
      </c>
      <c r="F1152">
        <v>5105010125</v>
      </c>
      <c r="G1152" s="13">
        <v>171574.71</v>
      </c>
      <c r="I1152" t="s">
        <v>160</v>
      </c>
      <c r="J1152" t="s">
        <v>579</v>
      </c>
      <c r="K1152" t="s">
        <v>170</v>
      </c>
      <c r="L1152">
        <v>5500000354</v>
      </c>
      <c r="M1152" t="s">
        <v>716</v>
      </c>
    </row>
    <row r="1153" spans="3:13">
      <c r="C1153">
        <v>2100300025</v>
      </c>
      <c r="D1153">
        <v>6126000</v>
      </c>
      <c r="E1153" t="s">
        <v>188</v>
      </c>
      <c r="F1153">
        <v>5105010125</v>
      </c>
      <c r="G1153" s="13">
        <v>166040.03</v>
      </c>
      <c r="I1153" t="s">
        <v>160</v>
      </c>
      <c r="J1153" t="s">
        <v>581</v>
      </c>
      <c r="K1153" t="s">
        <v>170</v>
      </c>
      <c r="L1153">
        <v>5500000429</v>
      </c>
      <c r="M1153" t="s">
        <v>717</v>
      </c>
    </row>
    <row r="1154" spans="3:13">
      <c r="C1154">
        <v>2100300025</v>
      </c>
      <c r="D1154">
        <v>6126000</v>
      </c>
      <c r="E1154" t="s">
        <v>188</v>
      </c>
      <c r="F1154">
        <v>5105010125</v>
      </c>
      <c r="G1154" s="13">
        <v>171574.78</v>
      </c>
      <c r="I1154" t="s">
        <v>160</v>
      </c>
      <c r="J1154" t="s">
        <v>583</v>
      </c>
      <c r="K1154" t="s">
        <v>170</v>
      </c>
      <c r="L1154">
        <v>5500000506</v>
      </c>
      <c r="M1154" t="s">
        <v>718</v>
      </c>
    </row>
    <row r="1155" spans="3:13">
      <c r="C1155">
        <v>2100300025</v>
      </c>
      <c r="D1155">
        <v>6126000</v>
      </c>
      <c r="E1155" t="s">
        <v>188</v>
      </c>
      <c r="F1155">
        <v>5105010125</v>
      </c>
      <c r="G1155" s="13">
        <v>166040.07</v>
      </c>
      <c r="I1155" t="s">
        <v>160</v>
      </c>
      <c r="J1155" t="s">
        <v>585</v>
      </c>
      <c r="K1155" t="s">
        <v>170</v>
      </c>
      <c r="L1155">
        <v>5500000583</v>
      </c>
      <c r="M1155" t="s">
        <v>719</v>
      </c>
    </row>
    <row r="1156" spans="3:13">
      <c r="C1156">
        <v>2100300025</v>
      </c>
      <c r="D1156">
        <v>6126000</v>
      </c>
      <c r="E1156" t="s">
        <v>188</v>
      </c>
      <c r="F1156">
        <v>5105010125</v>
      </c>
      <c r="G1156" s="13">
        <v>171574.67</v>
      </c>
      <c r="I1156" t="s">
        <v>160</v>
      </c>
      <c r="J1156" t="s">
        <v>587</v>
      </c>
      <c r="K1156" t="s">
        <v>170</v>
      </c>
      <c r="L1156">
        <v>5500000660</v>
      </c>
      <c r="M1156" t="s">
        <v>720</v>
      </c>
    </row>
    <row r="1157" spans="3:13">
      <c r="C1157">
        <v>2100300025</v>
      </c>
      <c r="D1157">
        <v>6126000</v>
      </c>
      <c r="E1157" t="s">
        <v>188</v>
      </c>
      <c r="F1157">
        <v>5105010125</v>
      </c>
      <c r="G1157" s="13">
        <v>171574.73</v>
      </c>
      <c r="I1157" t="s">
        <v>160</v>
      </c>
      <c r="J1157" t="s">
        <v>589</v>
      </c>
      <c r="K1157" t="s">
        <v>170</v>
      </c>
      <c r="L1157">
        <v>5500000737</v>
      </c>
      <c r="M1157" t="s">
        <v>721</v>
      </c>
    </row>
    <row r="1158" spans="3:13">
      <c r="C1158">
        <v>2100300025</v>
      </c>
      <c r="D1158">
        <v>6131000</v>
      </c>
      <c r="E1158" t="s">
        <v>188</v>
      </c>
      <c r="F1158">
        <v>5105010125</v>
      </c>
      <c r="G1158" s="13">
        <v>2807.67</v>
      </c>
      <c r="I1158" t="s">
        <v>160</v>
      </c>
      <c r="J1158" t="s">
        <v>571</v>
      </c>
      <c r="K1158" t="s">
        <v>170</v>
      </c>
      <c r="L1158">
        <v>5500000056</v>
      </c>
      <c r="M1158" t="s">
        <v>712</v>
      </c>
    </row>
    <row r="1159" spans="3:13">
      <c r="C1159">
        <v>2100300025</v>
      </c>
      <c r="D1159">
        <v>6131000</v>
      </c>
      <c r="E1159" t="s">
        <v>188</v>
      </c>
      <c r="F1159">
        <v>5105010125</v>
      </c>
      <c r="G1159" s="13">
        <v>1426.84</v>
      </c>
      <c r="I1159" t="s">
        <v>160</v>
      </c>
      <c r="J1159" t="s">
        <v>573</v>
      </c>
      <c r="K1159" t="s">
        <v>170</v>
      </c>
      <c r="L1159">
        <v>5500000130</v>
      </c>
      <c r="M1159" t="s">
        <v>733</v>
      </c>
    </row>
    <row r="1160" spans="3:13">
      <c r="C1160">
        <v>2100300025</v>
      </c>
      <c r="D1160">
        <v>6131000</v>
      </c>
      <c r="E1160" t="s">
        <v>188</v>
      </c>
      <c r="F1160">
        <v>5105010125</v>
      </c>
      <c r="G1160" s="13">
        <v>1426.84</v>
      </c>
      <c r="I1160" t="s">
        <v>160</v>
      </c>
      <c r="J1160" t="s">
        <v>575</v>
      </c>
      <c r="K1160" t="s">
        <v>170</v>
      </c>
      <c r="L1160">
        <v>5500000203</v>
      </c>
      <c r="M1160" t="s">
        <v>714</v>
      </c>
    </row>
    <row r="1161" spans="3:13">
      <c r="C1161">
        <v>2100300025</v>
      </c>
      <c r="D1161">
        <v>6131000</v>
      </c>
      <c r="E1161" t="s">
        <v>188</v>
      </c>
      <c r="F1161">
        <v>5105010125</v>
      </c>
      <c r="G1161" s="13">
        <v>1288.8</v>
      </c>
      <c r="I1161" t="s">
        <v>160</v>
      </c>
      <c r="J1161" t="s">
        <v>577</v>
      </c>
      <c r="K1161" t="s">
        <v>170</v>
      </c>
      <c r="L1161">
        <v>5500000278</v>
      </c>
      <c r="M1161" t="s">
        <v>715</v>
      </c>
    </row>
    <row r="1162" spans="3:13">
      <c r="C1162">
        <v>2100300025</v>
      </c>
      <c r="D1162">
        <v>6131000</v>
      </c>
      <c r="E1162" t="s">
        <v>188</v>
      </c>
      <c r="F1162">
        <v>5105010125</v>
      </c>
      <c r="G1162" s="13">
        <v>1426.84</v>
      </c>
      <c r="I1162" t="s">
        <v>160</v>
      </c>
      <c r="J1162" t="s">
        <v>579</v>
      </c>
      <c r="K1162" t="s">
        <v>170</v>
      </c>
      <c r="L1162">
        <v>5500000354</v>
      </c>
      <c r="M1162" t="s">
        <v>716</v>
      </c>
    </row>
    <row r="1163" spans="3:13">
      <c r="C1163">
        <v>2100300025</v>
      </c>
      <c r="D1163">
        <v>6131000</v>
      </c>
      <c r="E1163" t="s">
        <v>188</v>
      </c>
      <c r="F1163">
        <v>5105010125</v>
      </c>
      <c r="G1163" s="13">
        <v>1380.84</v>
      </c>
      <c r="I1163" t="s">
        <v>160</v>
      </c>
      <c r="J1163" t="s">
        <v>581</v>
      </c>
      <c r="K1163" t="s">
        <v>170</v>
      </c>
      <c r="L1163">
        <v>5500000429</v>
      </c>
      <c r="M1163" t="s">
        <v>717</v>
      </c>
    </row>
    <row r="1164" spans="3:13">
      <c r="C1164">
        <v>2100300025</v>
      </c>
      <c r="D1164">
        <v>6131000</v>
      </c>
      <c r="E1164" t="s">
        <v>188</v>
      </c>
      <c r="F1164">
        <v>5105010125</v>
      </c>
      <c r="G1164" s="13">
        <v>1426.84</v>
      </c>
      <c r="I1164" t="s">
        <v>160</v>
      </c>
      <c r="J1164" t="s">
        <v>583</v>
      </c>
      <c r="K1164" t="s">
        <v>170</v>
      </c>
      <c r="L1164">
        <v>5500000506</v>
      </c>
      <c r="M1164" t="s">
        <v>718</v>
      </c>
    </row>
    <row r="1165" spans="3:13">
      <c r="C1165">
        <v>2100300025</v>
      </c>
      <c r="D1165">
        <v>6131000</v>
      </c>
      <c r="E1165" t="s">
        <v>188</v>
      </c>
      <c r="F1165">
        <v>5105010125</v>
      </c>
      <c r="G1165" s="13">
        <v>1380.82</v>
      </c>
      <c r="I1165" t="s">
        <v>160</v>
      </c>
      <c r="J1165" t="s">
        <v>585</v>
      </c>
      <c r="K1165" t="s">
        <v>170</v>
      </c>
      <c r="L1165">
        <v>5500000583</v>
      </c>
      <c r="M1165" t="s">
        <v>719</v>
      </c>
    </row>
    <row r="1166" spans="3:13">
      <c r="C1166">
        <v>2100300025</v>
      </c>
      <c r="D1166">
        <v>6131000</v>
      </c>
      <c r="E1166" t="s">
        <v>188</v>
      </c>
      <c r="F1166">
        <v>5105010125</v>
      </c>
      <c r="G1166" s="13">
        <v>1426.84</v>
      </c>
      <c r="I1166" t="s">
        <v>160</v>
      </c>
      <c r="J1166" t="s">
        <v>587</v>
      </c>
      <c r="K1166" t="s">
        <v>170</v>
      </c>
      <c r="L1166">
        <v>5500000660</v>
      </c>
      <c r="M1166" t="s">
        <v>720</v>
      </c>
    </row>
    <row r="1167" spans="3:13">
      <c r="C1167">
        <v>2100300025</v>
      </c>
      <c r="D1167">
        <v>6131000</v>
      </c>
      <c r="E1167" t="s">
        <v>188</v>
      </c>
      <c r="F1167">
        <v>5105010125</v>
      </c>
      <c r="G1167" s="13">
        <v>1426.85</v>
      </c>
      <c r="I1167" t="s">
        <v>160</v>
      </c>
      <c r="J1167" t="s">
        <v>589</v>
      </c>
      <c r="K1167" t="s">
        <v>170</v>
      </c>
      <c r="L1167">
        <v>5500000737</v>
      </c>
      <c r="M1167" t="s">
        <v>721</v>
      </c>
    </row>
    <row r="1168" spans="3:13">
      <c r="C1168">
        <v>2100300025</v>
      </c>
      <c r="D1168">
        <v>6111310</v>
      </c>
      <c r="E1168" t="s">
        <v>199</v>
      </c>
      <c r="F1168">
        <v>5105010125</v>
      </c>
      <c r="G1168" s="13">
        <v>3476.16</v>
      </c>
      <c r="I1168" t="s">
        <v>160</v>
      </c>
      <c r="J1168" t="s">
        <v>571</v>
      </c>
      <c r="K1168" t="s">
        <v>170</v>
      </c>
      <c r="L1168">
        <v>5500000055</v>
      </c>
      <c r="M1168" t="s">
        <v>722</v>
      </c>
    </row>
    <row r="1169" spans="3:13">
      <c r="C1169">
        <v>2100300025</v>
      </c>
      <c r="D1169">
        <v>6111310</v>
      </c>
      <c r="E1169" t="s">
        <v>199</v>
      </c>
      <c r="F1169">
        <v>5105010125</v>
      </c>
      <c r="G1169" s="13">
        <v>18584.099999999999</v>
      </c>
      <c r="I1169" t="s">
        <v>160</v>
      </c>
      <c r="J1169" t="s">
        <v>571</v>
      </c>
      <c r="K1169" t="s">
        <v>170</v>
      </c>
      <c r="L1169">
        <v>5500000055</v>
      </c>
      <c r="M1169" t="s">
        <v>722</v>
      </c>
    </row>
    <row r="1170" spans="3:13">
      <c r="C1170">
        <v>2100300025</v>
      </c>
      <c r="D1170">
        <v>6111310</v>
      </c>
      <c r="E1170" t="s">
        <v>199</v>
      </c>
      <c r="F1170">
        <v>5105010125</v>
      </c>
      <c r="G1170" s="13">
        <v>16272.75</v>
      </c>
      <c r="I1170" t="s">
        <v>160</v>
      </c>
      <c r="J1170" t="s">
        <v>571</v>
      </c>
      <c r="K1170" t="s">
        <v>170</v>
      </c>
      <c r="L1170">
        <v>5500000055</v>
      </c>
      <c r="M1170" t="s">
        <v>722</v>
      </c>
    </row>
    <row r="1171" spans="3:13">
      <c r="C1171">
        <v>2100300025</v>
      </c>
      <c r="D1171">
        <v>6111310</v>
      </c>
      <c r="E1171" t="s">
        <v>199</v>
      </c>
      <c r="F1171">
        <v>5105010125</v>
      </c>
      <c r="G1171" s="13">
        <v>83561.64</v>
      </c>
      <c r="I1171" t="s">
        <v>160</v>
      </c>
      <c r="J1171" t="s">
        <v>571</v>
      </c>
      <c r="K1171" t="s">
        <v>170</v>
      </c>
      <c r="L1171">
        <v>5500000056</v>
      </c>
      <c r="M1171" t="s">
        <v>712</v>
      </c>
    </row>
    <row r="1172" spans="3:13">
      <c r="C1172">
        <v>2100300025</v>
      </c>
      <c r="D1172">
        <v>6111310</v>
      </c>
      <c r="E1172" t="s">
        <v>199</v>
      </c>
      <c r="F1172">
        <v>5105010125</v>
      </c>
      <c r="G1172" s="13">
        <v>633380.55000000005</v>
      </c>
      <c r="I1172" t="s">
        <v>160</v>
      </c>
      <c r="J1172" t="s">
        <v>571</v>
      </c>
      <c r="K1172" t="s">
        <v>170</v>
      </c>
      <c r="L1172">
        <v>5500000056</v>
      </c>
      <c r="M1172" t="s">
        <v>712</v>
      </c>
    </row>
    <row r="1173" spans="3:13">
      <c r="C1173">
        <v>2100300025</v>
      </c>
      <c r="D1173">
        <v>6111310</v>
      </c>
      <c r="E1173" t="s">
        <v>199</v>
      </c>
      <c r="F1173">
        <v>5105010125</v>
      </c>
      <c r="G1173">
        <v>501.37</v>
      </c>
      <c r="I1173" t="s">
        <v>160</v>
      </c>
      <c r="J1173" t="s">
        <v>571</v>
      </c>
      <c r="K1173" t="s">
        <v>170</v>
      </c>
      <c r="L1173">
        <v>5500000056</v>
      </c>
      <c r="M1173" t="s">
        <v>712</v>
      </c>
    </row>
    <row r="1174" spans="3:13">
      <c r="C1174">
        <v>2100300025</v>
      </c>
      <c r="D1174">
        <v>6111310</v>
      </c>
      <c r="E1174" t="s">
        <v>199</v>
      </c>
      <c r="F1174">
        <v>5105010125</v>
      </c>
      <c r="G1174">
        <v>416.14</v>
      </c>
      <c r="I1174" t="s">
        <v>160</v>
      </c>
      <c r="J1174" t="s">
        <v>571</v>
      </c>
      <c r="K1174" t="s">
        <v>170</v>
      </c>
      <c r="L1174">
        <v>5500000056</v>
      </c>
      <c r="M1174" t="s">
        <v>712</v>
      </c>
    </row>
    <row r="1175" spans="3:13">
      <c r="C1175">
        <v>2100300025</v>
      </c>
      <c r="D1175">
        <v>6111310</v>
      </c>
      <c r="E1175" t="s">
        <v>199</v>
      </c>
      <c r="F1175">
        <v>5105010125</v>
      </c>
      <c r="G1175" s="13">
        <v>7353.42</v>
      </c>
      <c r="I1175" t="s">
        <v>160</v>
      </c>
      <c r="J1175" t="s">
        <v>571</v>
      </c>
      <c r="K1175" t="s">
        <v>170</v>
      </c>
      <c r="L1175">
        <v>5500000056</v>
      </c>
      <c r="M1175" t="s">
        <v>712</v>
      </c>
    </row>
    <row r="1176" spans="3:13">
      <c r="C1176">
        <v>2100300025</v>
      </c>
      <c r="D1176">
        <v>6111310</v>
      </c>
      <c r="E1176" t="s">
        <v>199</v>
      </c>
      <c r="F1176">
        <v>5105010125</v>
      </c>
      <c r="G1176" s="13">
        <v>1537.54</v>
      </c>
      <c r="I1176" t="s">
        <v>160</v>
      </c>
      <c r="J1176" t="s">
        <v>571</v>
      </c>
      <c r="K1176" t="s">
        <v>170</v>
      </c>
      <c r="L1176">
        <v>5500000056</v>
      </c>
      <c r="M1176" t="s">
        <v>712</v>
      </c>
    </row>
    <row r="1177" spans="3:13">
      <c r="C1177">
        <v>2100300025</v>
      </c>
      <c r="D1177">
        <v>6111310</v>
      </c>
      <c r="E1177" t="s">
        <v>199</v>
      </c>
      <c r="F1177">
        <v>5105010125</v>
      </c>
      <c r="G1177">
        <v>321.88</v>
      </c>
      <c r="I1177" t="s">
        <v>160</v>
      </c>
      <c r="J1177" t="s">
        <v>571</v>
      </c>
      <c r="K1177" t="s">
        <v>170</v>
      </c>
      <c r="L1177">
        <v>5500000056</v>
      </c>
      <c r="M1177" t="s">
        <v>712</v>
      </c>
    </row>
    <row r="1178" spans="3:13">
      <c r="C1178">
        <v>2100300025</v>
      </c>
      <c r="D1178">
        <v>6111310</v>
      </c>
      <c r="E1178" t="s">
        <v>199</v>
      </c>
      <c r="F1178">
        <v>5105010125</v>
      </c>
      <c r="G1178" s="13">
        <v>42465.760000000002</v>
      </c>
      <c r="I1178" t="s">
        <v>160</v>
      </c>
      <c r="J1178" t="s">
        <v>573</v>
      </c>
      <c r="K1178" t="s">
        <v>170</v>
      </c>
      <c r="L1178">
        <v>5500000129</v>
      </c>
      <c r="M1178" t="s">
        <v>713</v>
      </c>
    </row>
    <row r="1179" spans="3:13">
      <c r="C1179">
        <v>2100300025</v>
      </c>
      <c r="D1179">
        <v>6111310</v>
      </c>
      <c r="E1179" t="s">
        <v>199</v>
      </c>
      <c r="F1179">
        <v>5105010125</v>
      </c>
      <c r="G1179" s="13">
        <v>321881.92</v>
      </c>
      <c r="I1179" t="s">
        <v>160</v>
      </c>
      <c r="J1179" t="s">
        <v>573</v>
      </c>
      <c r="K1179" t="s">
        <v>170</v>
      </c>
      <c r="L1179">
        <v>5500000129</v>
      </c>
      <c r="M1179" t="s">
        <v>713</v>
      </c>
    </row>
    <row r="1180" spans="3:13">
      <c r="C1180">
        <v>2100300025</v>
      </c>
      <c r="D1180">
        <v>6111310</v>
      </c>
      <c r="E1180" t="s">
        <v>199</v>
      </c>
      <c r="F1180">
        <v>5105010125</v>
      </c>
      <c r="G1180" s="13">
        <v>8269.82</v>
      </c>
      <c r="I1180" t="s">
        <v>160</v>
      </c>
      <c r="J1180" t="s">
        <v>573</v>
      </c>
      <c r="K1180" t="s">
        <v>170</v>
      </c>
      <c r="L1180">
        <v>5500000129</v>
      </c>
      <c r="M1180" t="s">
        <v>713</v>
      </c>
    </row>
    <row r="1181" spans="3:13">
      <c r="C1181">
        <v>2100300025</v>
      </c>
      <c r="D1181">
        <v>6111310</v>
      </c>
      <c r="E1181" t="s">
        <v>199</v>
      </c>
      <c r="F1181">
        <v>5105010125</v>
      </c>
      <c r="G1181" s="13">
        <v>9444.4</v>
      </c>
      <c r="I1181" t="s">
        <v>160</v>
      </c>
      <c r="J1181" t="s">
        <v>573</v>
      </c>
      <c r="K1181" t="s">
        <v>170</v>
      </c>
      <c r="L1181">
        <v>5500000129</v>
      </c>
      <c r="M1181" t="s">
        <v>713</v>
      </c>
    </row>
    <row r="1182" spans="3:13">
      <c r="C1182">
        <v>2100300025</v>
      </c>
      <c r="D1182">
        <v>6111310</v>
      </c>
      <c r="E1182" t="s">
        <v>199</v>
      </c>
      <c r="F1182">
        <v>5105010125</v>
      </c>
      <c r="G1182" s="13">
        <v>1766.58</v>
      </c>
      <c r="I1182" t="s">
        <v>160</v>
      </c>
      <c r="J1182" t="s">
        <v>573</v>
      </c>
      <c r="K1182" t="s">
        <v>170</v>
      </c>
      <c r="L1182">
        <v>5500000129</v>
      </c>
      <c r="M1182" t="s">
        <v>713</v>
      </c>
    </row>
    <row r="1183" spans="3:13">
      <c r="C1183">
        <v>2100300025</v>
      </c>
      <c r="D1183">
        <v>6111310</v>
      </c>
      <c r="E1183" t="s">
        <v>199</v>
      </c>
      <c r="F1183">
        <v>5105010125</v>
      </c>
      <c r="G1183">
        <v>163.58000000000001</v>
      </c>
      <c r="I1183" t="s">
        <v>160</v>
      </c>
      <c r="J1183" t="s">
        <v>573</v>
      </c>
      <c r="K1183" t="s">
        <v>170</v>
      </c>
      <c r="L1183">
        <v>5500000129</v>
      </c>
      <c r="M1183" t="s">
        <v>713</v>
      </c>
    </row>
    <row r="1184" spans="3:13">
      <c r="C1184">
        <v>2100300025</v>
      </c>
      <c r="D1184">
        <v>6111310</v>
      </c>
      <c r="E1184" t="s">
        <v>199</v>
      </c>
      <c r="F1184">
        <v>5105010125</v>
      </c>
      <c r="G1184">
        <v>781.36</v>
      </c>
      <c r="I1184" t="s">
        <v>160</v>
      </c>
      <c r="J1184" t="s">
        <v>573</v>
      </c>
      <c r="K1184" t="s">
        <v>170</v>
      </c>
      <c r="L1184">
        <v>5500000129</v>
      </c>
      <c r="M1184" t="s">
        <v>713</v>
      </c>
    </row>
    <row r="1185" spans="3:13">
      <c r="C1185">
        <v>2100300025</v>
      </c>
      <c r="D1185">
        <v>6111310</v>
      </c>
      <c r="E1185" t="s">
        <v>199</v>
      </c>
      <c r="F1185">
        <v>5105010125</v>
      </c>
      <c r="G1185" s="13">
        <v>3737</v>
      </c>
      <c r="I1185" t="s">
        <v>160</v>
      </c>
      <c r="J1185" t="s">
        <v>573</v>
      </c>
      <c r="K1185" t="s">
        <v>170</v>
      </c>
      <c r="L1185">
        <v>5500000129</v>
      </c>
      <c r="M1185" t="s">
        <v>713</v>
      </c>
    </row>
    <row r="1186" spans="3:13">
      <c r="C1186">
        <v>2100300025</v>
      </c>
      <c r="D1186">
        <v>6111310</v>
      </c>
      <c r="E1186" t="s">
        <v>199</v>
      </c>
      <c r="F1186">
        <v>5105010125</v>
      </c>
      <c r="G1186">
        <v>254.79</v>
      </c>
      <c r="I1186" t="s">
        <v>160</v>
      </c>
      <c r="J1186" t="s">
        <v>573</v>
      </c>
      <c r="K1186" t="s">
        <v>170</v>
      </c>
      <c r="L1186">
        <v>5500000129</v>
      </c>
      <c r="M1186" t="s">
        <v>713</v>
      </c>
    </row>
    <row r="1187" spans="3:13">
      <c r="C1187">
        <v>2100300025</v>
      </c>
      <c r="D1187">
        <v>6111310</v>
      </c>
      <c r="E1187" t="s">
        <v>199</v>
      </c>
      <c r="F1187">
        <v>5105010125</v>
      </c>
      <c r="G1187">
        <v>211.48</v>
      </c>
      <c r="I1187" t="s">
        <v>160</v>
      </c>
      <c r="J1187" t="s">
        <v>573</v>
      </c>
      <c r="K1187" t="s">
        <v>170</v>
      </c>
      <c r="L1187">
        <v>5500000129</v>
      </c>
      <c r="M1187" t="s">
        <v>713</v>
      </c>
    </row>
    <row r="1188" spans="3:13">
      <c r="C1188">
        <v>2100300025</v>
      </c>
      <c r="D1188">
        <v>6111310</v>
      </c>
      <c r="E1188" t="s">
        <v>199</v>
      </c>
      <c r="F1188">
        <v>5105010125</v>
      </c>
      <c r="G1188" s="13">
        <v>42465.75</v>
      </c>
      <c r="I1188" t="s">
        <v>160</v>
      </c>
      <c r="J1188" t="s">
        <v>575</v>
      </c>
      <c r="K1188" t="s">
        <v>170</v>
      </c>
      <c r="L1188">
        <v>5500000202</v>
      </c>
      <c r="M1188" t="s">
        <v>724</v>
      </c>
    </row>
    <row r="1189" spans="3:13">
      <c r="C1189">
        <v>2100300025</v>
      </c>
      <c r="D1189">
        <v>6111310</v>
      </c>
      <c r="E1189" t="s">
        <v>199</v>
      </c>
      <c r="F1189">
        <v>5105010125</v>
      </c>
      <c r="G1189" s="13">
        <v>321881.92</v>
      </c>
      <c r="I1189" t="s">
        <v>160</v>
      </c>
      <c r="J1189" t="s">
        <v>575</v>
      </c>
      <c r="K1189" t="s">
        <v>170</v>
      </c>
      <c r="L1189">
        <v>5500000202</v>
      </c>
      <c r="M1189" t="s">
        <v>724</v>
      </c>
    </row>
    <row r="1190" spans="3:13">
      <c r="C1190">
        <v>2100300025</v>
      </c>
      <c r="D1190">
        <v>6111310</v>
      </c>
      <c r="E1190" t="s">
        <v>199</v>
      </c>
      <c r="F1190">
        <v>5105010125</v>
      </c>
      <c r="G1190">
        <v>254.8</v>
      </c>
      <c r="I1190" t="s">
        <v>160</v>
      </c>
      <c r="J1190" t="s">
        <v>575</v>
      </c>
      <c r="K1190" t="s">
        <v>170</v>
      </c>
      <c r="L1190">
        <v>5500000202</v>
      </c>
      <c r="M1190" t="s">
        <v>724</v>
      </c>
    </row>
    <row r="1191" spans="3:13">
      <c r="C1191">
        <v>2100300025</v>
      </c>
      <c r="D1191">
        <v>6111310</v>
      </c>
      <c r="E1191" t="s">
        <v>199</v>
      </c>
      <c r="F1191">
        <v>5105010125</v>
      </c>
      <c r="G1191">
        <v>211.47</v>
      </c>
      <c r="I1191" t="s">
        <v>160</v>
      </c>
      <c r="J1191" t="s">
        <v>575</v>
      </c>
      <c r="K1191" t="s">
        <v>170</v>
      </c>
      <c r="L1191">
        <v>5500000202</v>
      </c>
      <c r="M1191" t="s">
        <v>724</v>
      </c>
    </row>
    <row r="1192" spans="3:13">
      <c r="C1192">
        <v>2100300025</v>
      </c>
      <c r="D1192">
        <v>6111310</v>
      </c>
      <c r="E1192" t="s">
        <v>199</v>
      </c>
      <c r="F1192">
        <v>5105010125</v>
      </c>
      <c r="G1192" s="13">
        <v>3736.98</v>
      </c>
      <c r="I1192" t="s">
        <v>160</v>
      </c>
      <c r="J1192" t="s">
        <v>575</v>
      </c>
      <c r="K1192" t="s">
        <v>170</v>
      </c>
      <c r="L1192">
        <v>5500000202</v>
      </c>
      <c r="M1192" t="s">
        <v>724</v>
      </c>
    </row>
    <row r="1193" spans="3:13">
      <c r="C1193">
        <v>2100300025</v>
      </c>
      <c r="D1193">
        <v>6111310</v>
      </c>
      <c r="E1193" t="s">
        <v>199</v>
      </c>
      <c r="F1193">
        <v>5105010125</v>
      </c>
      <c r="G1193">
        <v>781.38</v>
      </c>
      <c r="I1193" t="s">
        <v>160</v>
      </c>
      <c r="J1193" t="s">
        <v>575</v>
      </c>
      <c r="K1193" t="s">
        <v>170</v>
      </c>
      <c r="L1193">
        <v>5500000202</v>
      </c>
      <c r="M1193" t="s">
        <v>724</v>
      </c>
    </row>
    <row r="1194" spans="3:13">
      <c r="C1194">
        <v>2100300025</v>
      </c>
      <c r="D1194">
        <v>6111310</v>
      </c>
      <c r="E1194" t="s">
        <v>199</v>
      </c>
      <c r="F1194">
        <v>5105010125</v>
      </c>
      <c r="G1194">
        <v>163.58000000000001</v>
      </c>
      <c r="I1194" t="s">
        <v>160</v>
      </c>
      <c r="J1194" t="s">
        <v>575</v>
      </c>
      <c r="K1194" t="s">
        <v>170</v>
      </c>
      <c r="L1194">
        <v>5500000202</v>
      </c>
      <c r="M1194" t="s">
        <v>724</v>
      </c>
    </row>
    <row r="1195" spans="3:13">
      <c r="C1195">
        <v>2100300025</v>
      </c>
      <c r="D1195">
        <v>6111310</v>
      </c>
      <c r="E1195" t="s">
        <v>199</v>
      </c>
      <c r="F1195">
        <v>5105010125</v>
      </c>
      <c r="G1195" s="13">
        <v>1766.58</v>
      </c>
      <c r="I1195" t="s">
        <v>160</v>
      </c>
      <c r="J1195" t="s">
        <v>575</v>
      </c>
      <c r="K1195" t="s">
        <v>170</v>
      </c>
      <c r="L1195">
        <v>5500000202</v>
      </c>
      <c r="M1195" t="s">
        <v>724</v>
      </c>
    </row>
    <row r="1196" spans="3:13">
      <c r="C1196">
        <v>2100300025</v>
      </c>
      <c r="D1196">
        <v>6111310</v>
      </c>
      <c r="E1196" t="s">
        <v>199</v>
      </c>
      <c r="F1196">
        <v>5105010125</v>
      </c>
      <c r="G1196" s="13">
        <v>9444.3799999999992</v>
      </c>
      <c r="I1196" t="s">
        <v>160</v>
      </c>
      <c r="J1196" t="s">
        <v>575</v>
      </c>
      <c r="K1196" t="s">
        <v>170</v>
      </c>
      <c r="L1196">
        <v>5500000202</v>
      </c>
      <c r="M1196" t="s">
        <v>724</v>
      </c>
    </row>
    <row r="1197" spans="3:13">
      <c r="C1197">
        <v>2100300025</v>
      </c>
      <c r="D1197">
        <v>6111310</v>
      </c>
      <c r="E1197" t="s">
        <v>199</v>
      </c>
      <c r="F1197">
        <v>5105010125</v>
      </c>
      <c r="G1197" s="13">
        <v>8269.82</v>
      </c>
      <c r="I1197" t="s">
        <v>160</v>
      </c>
      <c r="J1197" t="s">
        <v>575</v>
      </c>
      <c r="K1197" t="s">
        <v>170</v>
      </c>
      <c r="L1197">
        <v>5500000202</v>
      </c>
      <c r="M1197" t="s">
        <v>724</v>
      </c>
    </row>
    <row r="1198" spans="3:13">
      <c r="C1198">
        <v>2100300025</v>
      </c>
      <c r="D1198">
        <v>6111310</v>
      </c>
      <c r="E1198" t="s">
        <v>199</v>
      </c>
      <c r="F1198">
        <v>5105010125</v>
      </c>
      <c r="G1198">
        <v>230.14</v>
      </c>
      <c r="I1198" t="s">
        <v>160</v>
      </c>
      <c r="J1198" t="s">
        <v>577</v>
      </c>
      <c r="K1198" t="s">
        <v>170</v>
      </c>
      <c r="L1198">
        <v>5500000278</v>
      </c>
      <c r="M1198" t="s">
        <v>715</v>
      </c>
    </row>
    <row r="1199" spans="3:13">
      <c r="C1199">
        <v>2100300025</v>
      </c>
      <c r="D1199">
        <v>6111310</v>
      </c>
      <c r="E1199" t="s">
        <v>199</v>
      </c>
      <c r="F1199">
        <v>5105010125</v>
      </c>
      <c r="G1199">
        <v>191.02</v>
      </c>
      <c r="I1199" t="s">
        <v>160</v>
      </c>
      <c r="J1199" t="s">
        <v>577</v>
      </c>
      <c r="K1199" t="s">
        <v>170</v>
      </c>
      <c r="L1199">
        <v>5500000278</v>
      </c>
      <c r="M1199" t="s">
        <v>715</v>
      </c>
    </row>
    <row r="1200" spans="3:13">
      <c r="C1200">
        <v>2100300025</v>
      </c>
      <c r="D1200">
        <v>6111310</v>
      </c>
      <c r="E1200" t="s">
        <v>199</v>
      </c>
      <c r="F1200">
        <v>5105010125</v>
      </c>
      <c r="G1200" s="13">
        <v>290732.03999999998</v>
      </c>
      <c r="I1200" t="s">
        <v>160</v>
      </c>
      <c r="J1200" t="s">
        <v>577</v>
      </c>
      <c r="K1200" t="s">
        <v>170</v>
      </c>
      <c r="L1200">
        <v>5500000278</v>
      </c>
      <c r="M1200" t="s">
        <v>715</v>
      </c>
    </row>
    <row r="1201" spans="3:13">
      <c r="C1201">
        <v>2100300025</v>
      </c>
      <c r="D1201">
        <v>6111310</v>
      </c>
      <c r="E1201" t="s">
        <v>199</v>
      </c>
      <c r="F1201">
        <v>5105010125</v>
      </c>
      <c r="G1201" s="13">
        <v>3375.34</v>
      </c>
      <c r="I1201" t="s">
        <v>160</v>
      </c>
      <c r="J1201" t="s">
        <v>577</v>
      </c>
      <c r="K1201" t="s">
        <v>170</v>
      </c>
      <c r="L1201">
        <v>5500000278</v>
      </c>
      <c r="M1201" t="s">
        <v>715</v>
      </c>
    </row>
    <row r="1202" spans="3:13">
      <c r="C1202">
        <v>2100300025</v>
      </c>
      <c r="D1202">
        <v>6111310</v>
      </c>
      <c r="E1202" t="s">
        <v>199</v>
      </c>
      <c r="F1202">
        <v>5105010125</v>
      </c>
      <c r="G1202" s="13">
        <v>38356.17</v>
      </c>
      <c r="I1202" t="s">
        <v>160</v>
      </c>
      <c r="J1202" t="s">
        <v>577</v>
      </c>
      <c r="K1202" t="s">
        <v>170</v>
      </c>
      <c r="L1202">
        <v>5500000278</v>
      </c>
      <c r="M1202" t="s">
        <v>715</v>
      </c>
    </row>
    <row r="1203" spans="3:13">
      <c r="C1203">
        <v>2100300025</v>
      </c>
      <c r="D1203">
        <v>6111310</v>
      </c>
      <c r="E1203" t="s">
        <v>199</v>
      </c>
      <c r="F1203">
        <v>5105010125</v>
      </c>
      <c r="G1203">
        <v>705.74</v>
      </c>
      <c r="I1203" t="s">
        <v>160</v>
      </c>
      <c r="J1203" t="s">
        <v>577</v>
      </c>
      <c r="K1203" t="s">
        <v>170</v>
      </c>
      <c r="L1203">
        <v>5500000278</v>
      </c>
      <c r="M1203" t="s">
        <v>715</v>
      </c>
    </row>
    <row r="1204" spans="3:13">
      <c r="C1204">
        <v>2100300025</v>
      </c>
      <c r="D1204">
        <v>6111310</v>
      </c>
      <c r="E1204" t="s">
        <v>199</v>
      </c>
      <c r="F1204">
        <v>5105010125</v>
      </c>
      <c r="G1204">
        <v>147.74</v>
      </c>
      <c r="I1204" t="s">
        <v>160</v>
      </c>
      <c r="J1204" t="s">
        <v>577</v>
      </c>
      <c r="K1204" t="s">
        <v>170</v>
      </c>
      <c r="L1204">
        <v>5500000278</v>
      </c>
      <c r="M1204" t="s">
        <v>715</v>
      </c>
    </row>
    <row r="1205" spans="3:13">
      <c r="C1205">
        <v>2100300025</v>
      </c>
      <c r="D1205">
        <v>6111310</v>
      </c>
      <c r="E1205" t="s">
        <v>199</v>
      </c>
      <c r="F1205">
        <v>5105010125</v>
      </c>
      <c r="G1205" s="13">
        <v>1595.62</v>
      </c>
      <c r="I1205" t="s">
        <v>160</v>
      </c>
      <c r="J1205" t="s">
        <v>577</v>
      </c>
      <c r="K1205" t="s">
        <v>170</v>
      </c>
      <c r="L1205">
        <v>5500000278</v>
      </c>
      <c r="M1205" t="s">
        <v>715</v>
      </c>
    </row>
    <row r="1206" spans="3:13">
      <c r="C1206">
        <v>2100300025</v>
      </c>
      <c r="D1206">
        <v>6111310</v>
      </c>
      <c r="E1206" t="s">
        <v>199</v>
      </c>
      <c r="F1206">
        <v>5105010125</v>
      </c>
      <c r="G1206" s="13">
        <v>8530.4</v>
      </c>
      <c r="I1206" t="s">
        <v>160</v>
      </c>
      <c r="J1206" t="s">
        <v>577</v>
      </c>
      <c r="K1206" t="s">
        <v>170</v>
      </c>
      <c r="L1206">
        <v>5500000278</v>
      </c>
      <c r="M1206" t="s">
        <v>715</v>
      </c>
    </row>
    <row r="1207" spans="3:13">
      <c r="C1207">
        <v>2100300025</v>
      </c>
      <c r="D1207">
        <v>6111310</v>
      </c>
      <c r="E1207" t="s">
        <v>199</v>
      </c>
      <c r="F1207">
        <v>5105010125</v>
      </c>
      <c r="G1207" s="13">
        <v>7469.41</v>
      </c>
      <c r="I1207" t="s">
        <v>160</v>
      </c>
      <c r="J1207" t="s">
        <v>577</v>
      </c>
      <c r="K1207" t="s">
        <v>170</v>
      </c>
      <c r="L1207">
        <v>5500000278</v>
      </c>
      <c r="M1207" t="s">
        <v>715</v>
      </c>
    </row>
    <row r="1208" spans="3:13">
      <c r="C1208">
        <v>2100300025</v>
      </c>
      <c r="D1208">
        <v>6111310</v>
      </c>
      <c r="E1208" t="s">
        <v>199</v>
      </c>
      <c r="F1208">
        <v>5105010125</v>
      </c>
      <c r="G1208">
        <v>211.48</v>
      </c>
      <c r="I1208" t="s">
        <v>160</v>
      </c>
      <c r="J1208" t="s">
        <v>579</v>
      </c>
      <c r="K1208" t="s">
        <v>170</v>
      </c>
      <c r="L1208">
        <v>5500000353</v>
      </c>
      <c r="M1208" t="s">
        <v>726</v>
      </c>
    </row>
    <row r="1209" spans="3:13">
      <c r="C1209">
        <v>2100300025</v>
      </c>
      <c r="D1209">
        <v>6111310</v>
      </c>
      <c r="E1209" t="s">
        <v>199</v>
      </c>
      <c r="F1209">
        <v>5105010125</v>
      </c>
      <c r="G1209" s="13">
        <v>3736.98</v>
      </c>
      <c r="I1209" t="s">
        <v>160</v>
      </c>
      <c r="J1209" t="s">
        <v>579</v>
      </c>
      <c r="K1209" t="s">
        <v>170</v>
      </c>
      <c r="L1209">
        <v>5500000353</v>
      </c>
      <c r="M1209" t="s">
        <v>726</v>
      </c>
    </row>
    <row r="1210" spans="3:13">
      <c r="C1210">
        <v>2100300025</v>
      </c>
      <c r="D1210">
        <v>6111310</v>
      </c>
      <c r="E1210" t="s">
        <v>199</v>
      </c>
      <c r="F1210">
        <v>5105010125</v>
      </c>
      <c r="G1210">
        <v>781.38</v>
      </c>
      <c r="I1210" t="s">
        <v>160</v>
      </c>
      <c r="J1210" t="s">
        <v>579</v>
      </c>
      <c r="K1210" t="s">
        <v>170</v>
      </c>
      <c r="L1210">
        <v>5500000353</v>
      </c>
      <c r="M1210" t="s">
        <v>726</v>
      </c>
    </row>
    <row r="1211" spans="3:13">
      <c r="C1211">
        <v>2100300025</v>
      </c>
      <c r="D1211">
        <v>6111310</v>
      </c>
      <c r="E1211" t="s">
        <v>199</v>
      </c>
      <c r="F1211">
        <v>5105010125</v>
      </c>
      <c r="G1211">
        <v>163.58000000000001</v>
      </c>
      <c r="I1211" t="s">
        <v>160</v>
      </c>
      <c r="J1211" t="s">
        <v>579</v>
      </c>
      <c r="K1211" t="s">
        <v>170</v>
      </c>
      <c r="L1211">
        <v>5500000353</v>
      </c>
      <c r="M1211" t="s">
        <v>726</v>
      </c>
    </row>
    <row r="1212" spans="3:13">
      <c r="C1212">
        <v>2100300025</v>
      </c>
      <c r="D1212">
        <v>6111310</v>
      </c>
      <c r="E1212" t="s">
        <v>199</v>
      </c>
      <c r="F1212">
        <v>5105010125</v>
      </c>
      <c r="G1212" s="13">
        <v>1766.56</v>
      </c>
      <c r="I1212" t="s">
        <v>160</v>
      </c>
      <c r="J1212" t="s">
        <v>579</v>
      </c>
      <c r="K1212" t="s">
        <v>170</v>
      </c>
      <c r="L1212">
        <v>5500000353</v>
      </c>
      <c r="M1212" t="s">
        <v>726</v>
      </c>
    </row>
    <row r="1213" spans="3:13">
      <c r="C1213">
        <v>2100300025</v>
      </c>
      <c r="D1213">
        <v>6111310</v>
      </c>
      <c r="E1213" t="s">
        <v>199</v>
      </c>
      <c r="F1213">
        <v>5105010125</v>
      </c>
      <c r="G1213" s="13">
        <v>9444.4</v>
      </c>
      <c r="I1213" t="s">
        <v>160</v>
      </c>
      <c r="J1213" t="s">
        <v>579</v>
      </c>
      <c r="K1213" t="s">
        <v>170</v>
      </c>
      <c r="L1213">
        <v>5500000353</v>
      </c>
      <c r="M1213" t="s">
        <v>726</v>
      </c>
    </row>
    <row r="1214" spans="3:13">
      <c r="C1214">
        <v>2100300025</v>
      </c>
      <c r="D1214">
        <v>6111310</v>
      </c>
      <c r="E1214" t="s">
        <v>199</v>
      </c>
      <c r="F1214">
        <v>5105010125</v>
      </c>
      <c r="G1214" s="13">
        <v>8269.82</v>
      </c>
      <c r="I1214" t="s">
        <v>160</v>
      </c>
      <c r="J1214" t="s">
        <v>579</v>
      </c>
      <c r="K1214" t="s">
        <v>170</v>
      </c>
      <c r="L1214">
        <v>5500000353</v>
      </c>
      <c r="M1214" t="s">
        <v>726</v>
      </c>
    </row>
    <row r="1215" spans="3:13">
      <c r="C1215">
        <v>2100300025</v>
      </c>
      <c r="D1215">
        <v>6111310</v>
      </c>
      <c r="E1215" t="s">
        <v>199</v>
      </c>
      <c r="F1215">
        <v>5105010125</v>
      </c>
      <c r="G1215">
        <v>254.79</v>
      </c>
      <c r="I1215" t="s">
        <v>160</v>
      </c>
      <c r="J1215" t="s">
        <v>579</v>
      </c>
      <c r="K1215" t="s">
        <v>170</v>
      </c>
      <c r="L1215">
        <v>5500000353</v>
      </c>
      <c r="M1215" t="s">
        <v>726</v>
      </c>
    </row>
    <row r="1216" spans="3:13">
      <c r="C1216">
        <v>2100300025</v>
      </c>
      <c r="D1216">
        <v>6111310</v>
      </c>
      <c r="E1216" t="s">
        <v>199</v>
      </c>
      <c r="F1216">
        <v>5105010125</v>
      </c>
      <c r="G1216" s="13">
        <v>42465.75</v>
      </c>
      <c r="I1216" t="s">
        <v>160</v>
      </c>
      <c r="J1216" t="s">
        <v>579</v>
      </c>
      <c r="K1216" t="s">
        <v>170</v>
      </c>
      <c r="L1216">
        <v>5500000353</v>
      </c>
      <c r="M1216" t="s">
        <v>726</v>
      </c>
    </row>
    <row r="1217" spans="3:13">
      <c r="C1217">
        <v>2100300025</v>
      </c>
      <c r="D1217">
        <v>6111310</v>
      </c>
      <c r="E1217" t="s">
        <v>199</v>
      </c>
      <c r="F1217">
        <v>5105010125</v>
      </c>
      <c r="G1217" s="13">
        <v>321881.93</v>
      </c>
      <c r="I1217" t="s">
        <v>160</v>
      </c>
      <c r="J1217" t="s">
        <v>579</v>
      </c>
      <c r="K1217" t="s">
        <v>170</v>
      </c>
      <c r="L1217">
        <v>5500000353</v>
      </c>
      <c r="M1217" t="s">
        <v>726</v>
      </c>
    </row>
    <row r="1218" spans="3:13">
      <c r="C1218">
        <v>2100300025</v>
      </c>
      <c r="D1218">
        <v>6111310</v>
      </c>
      <c r="E1218" t="s">
        <v>199</v>
      </c>
      <c r="F1218">
        <v>5105010125</v>
      </c>
      <c r="G1218" s="13">
        <v>9139.7199999999993</v>
      </c>
      <c r="I1218" t="s">
        <v>160</v>
      </c>
      <c r="J1218" t="s">
        <v>581</v>
      </c>
      <c r="K1218" t="s">
        <v>170</v>
      </c>
      <c r="L1218">
        <v>5500000428</v>
      </c>
      <c r="M1218" t="s">
        <v>727</v>
      </c>
    </row>
    <row r="1219" spans="3:13">
      <c r="C1219">
        <v>2100300025</v>
      </c>
      <c r="D1219">
        <v>6111310</v>
      </c>
      <c r="E1219" t="s">
        <v>199</v>
      </c>
      <c r="F1219">
        <v>5105010125</v>
      </c>
      <c r="G1219" s="13">
        <v>8003.06</v>
      </c>
      <c r="I1219" t="s">
        <v>160</v>
      </c>
      <c r="J1219" t="s">
        <v>581</v>
      </c>
      <c r="K1219" t="s">
        <v>170</v>
      </c>
      <c r="L1219">
        <v>5500000428</v>
      </c>
      <c r="M1219" t="s">
        <v>727</v>
      </c>
    </row>
    <row r="1220" spans="3:13">
      <c r="C1220">
        <v>2100300025</v>
      </c>
      <c r="D1220">
        <v>6111310</v>
      </c>
      <c r="E1220" t="s">
        <v>199</v>
      </c>
      <c r="F1220">
        <v>5105010125</v>
      </c>
      <c r="G1220" s="13">
        <v>41095.89</v>
      </c>
      <c r="I1220" t="s">
        <v>160</v>
      </c>
      <c r="J1220" t="s">
        <v>581</v>
      </c>
      <c r="K1220" t="s">
        <v>170</v>
      </c>
      <c r="L1220">
        <v>5500000429</v>
      </c>
      <c r="M1220" t="s">
        <v>717</v>
      </c>
    </row>
    <row r="1221" spans="3:13">
      <c r="C1221">
        <v>2100300025</v>
      </c>
      <c r="D1221">
        <v>6111310</v>
      </c>
      <c r="E1221" t="s">
        <v>199</v>
      </c>
      <c r="F1221">
        <v>5105010125</v>
      </c>
      <c r="G1221" s="13">
        <v>311498.63</v>
      </c>
      <c r="I1221" t="s">
        <v>160</v>
      </c>
      <c r="J1221" t="s">
        <v>581</v>
      </c>
      <c r="K1221" t="s">
        <v>170</v>
      </c>
      <c r="L1221">
        <v>5500000429</v>
      </c>
      <c r="M1221" t="s">
        <v>717</v>
      </c>
    </row>
    <row r="1222" spans="3:13">
      <c r="C1222">
        <v>2100300025</v>
      </c>
      <c r="D1222">
        <v>6111310</v>
      </c>
      <c r="E1222" t="s">
        <v>199</v>
      </c>
      <c r="F1222">
        <v>5105010125</v>
      </c>
      <c r="G1222">
        <v>246.58</v>
      </c>
      <c r="I1222" t="s">
        <v>160</v>
      </c>
      <c r="J1222" t="s">
        <v>581</v>
      </c>
      <c r="K1222" t="s">
        <v>170</v>
      </c>
      <c r="L1222">
        <v>5500000429</v>
      </c>
      <c r="M1222" t="s">
        <v>717</v>
      </c>
    </row>
    <row r="1223" spans="3:13">
      <c r="C1223">
        <v>2100300025</v>
      </c>
      <c r="D1223">
        <v>6111310</v>
      </c>
      <c r="E1223" t="s">
        <v>199</v>
      </c>
      <c r="F1223">
        <v>5105010125</v>
      </c>
      <c r="G1223">
        <v>204.66</v>
      </c>
      <c r="I1223" t="s">
        <v>160</v>
      </c>
      <c r="J1223" t="s">
        <v>581</v>
      </c>
      <c r="K1223" t="s">
        <v>170</v>
      </c>
      <c r="L1223">
        <v>5500000429</v>
      </c>
      <c r="M1223" t="s">
        <v>717</v>
      </c>
    </row>
    <row r="1224" spans="3:13">
      <c r="C1224">
        <v>2100300025</v>
      </c>
      <c r="D1224">
        <v>6111310</v>
      </c>
      <c r="E1224" t="s">
        <v>199</v>
      </c>
      <c r="F1224">
        <v>5105010125</v>
      </c>
      <c r="G1224" s="13">
        <v>3616.44</v>
      </c>
      <c r="I1224" t="s">
        <v>160</v>
      </c>
      <c r="J1224" t="s">
        <v>581</v>
      </c>
      <c r="K1224" t="s">
        <v>170</v>
      </c>
      <c r="L1224">
        <v>5500000429</v>
      </c>
      <c r="M1224" t="s">
        <v>717</v>
      </c>
    </row>
    <row r="1225" spans="3:13">
      <c r="C1225">
        <v>2100300025</v>
      </c>
      <c r="D1225">
        <v>6111310</v>
      </c>
      <c r="E1225" t="s">
        <v>199</v>
      </c>
      <c r="F1225">
        <v>5105010125</v>
      </c>
      <c r="G1225">
        <v>756.16</v>
      </c>
      <c r="I1225" t="s">
        <v>160</v>
      </c>
      <c r="J1225" t="s">
        <v>581</v>
      </c>
      <c r="K1225" t="s">
        <v>170</v>
      </c>
      <c r="L1225">
        <v>5500000429</v>
      </c>
      <c r="M1225" t="s">
        <v>717</v>
      </c>
    </row>
    <row r="1226" spans="3:13">
      <c r="C1226">
        <v>2100300025</v>
      </c>
      <c r="D1226">
        <v>6111310</v>
      </c>
      <c r="E1226" t="s">
        <v>199</v>
      </c>
      <c r="F1226">
        <v>5105010125</v>
      </c>
      <c r="G1226">
        <v>158.30000000000001</v>
      </c>
      <c r="I1226" t="s">
        <v>160</v>
      </c>
      <c r="J1226" t="s">
        <v>581</v>
      </c>
      <c r="K1226" t="s">
        <v>170</v>
      </c>
      <c r="L1226">
        <v>5500000429</v>
      </c>
      <c r="M1226" t="s">
        <v>717</v>
      </c>
    </row>
    <row r="1227" spans="3:13">
      <c r="C1227">
        <v>2100300025</v>
      </c>
      <c r="D1227">
        <v>6111310</v>
      </c>
      <c r="E1227" t="s">
        <v>199</v>
      </c>
      <c r="F1227">
        <v>5105010125</v>
      </c>
      <c r="G1227" s="13">
        <v>1709.6</v>
      </c>
      <c r="I1227" t="s">
        <v>160</v>
      </c>
      <c r="J1227" t="s">
        <v>581</v>
      </c>
      <c r="K1227" t="s">
        <v>170</v>
      </c>
      <c r="L1227">
        <v>5500000429</v>
      </c>
      <c r="M1227" t="s">
        <v>717</v>
      </c>
    </row>
    <row r="1228" spans="3:13">
      <c r="C1228">
        <v>2100300025</v>
      </c>
      <c r="D1228">
        <v>6111310</v>
      </c>
      <c r="E1228" t="s">
        <v>199</v>
      </c>
      <c r="F1228">
        <v>5105010125</v>
      </c>
      <c r="G1228" s="13">
        <v>3737</v>
      </c>
      <c r="I1228" t="s">
        <v>160</v>
      </c>
      <c r="J1228" t="s">
        <v>583</v>
      </c>
      <c r="K1228" t="s">
        <v>170</v>
      </c>
      <c r="L1228">
        <v>5500000505</v>
      </c>
      <c r="M1228" t="s">
        <v>728</v>
      </c>
    </row>
    <row r="1229" spans="3:13">
      <c r="C1229">
        <v>2100300025</v>
      </c>
      <c r="D1229">
        <v>6111310</v>
      </c>
      <c r="E1229" t="s">
        <v>199</v>
      </c>
      <c r="F1229">
        <v>5105010125</v>
      </c>
      <c r="G1229">
        <v>781.38</v>
      </c>
      <c r="I1229" t="s">
        <v>160</v>
      </c>
      <c r="J1229" t="s">
        <v>583</v>
      </c>
      <c r="K1229" t="s">
        <v>170</v>
      </c>
      <c r="L1229">
        <v>5500000505</v>
      </c>
      <c r="M1229" t="s">
        <v>728</v>
      </c>
    </row>
    <row r="1230" spans="3:13">
      <c r="C1230">
        <v>2100300025</v>
      </c>
      <c r="D1230">
        <v>6111310</v>
      </c>
      <c r="E1230" t="s">
        <v>199</v>
      </c>
      <c r="F1230">
        <v>5105010125</v>
      </c>
      <c r="G1230">
        <v>163.58000000000001</v>
      </c>
      <c r="I1230" t="s">
        <v>160</v>
      </c>
      <c r="J1230" t="s">
        <v>583</v>
      </c>
      <c r="K1230" t="s">
        <v>170</v>
      </c>
      <c r="L1230">
        <v>5500000505</v>
      </c>
      <c r="M1230" t="s">
        <v>728</v>
      </c>
    </row>
    <row r="1231" spans="3:13">
      <c r="C1231">
        <v>2100300025</v>
      </c>
      <c r="D1231">
        <v>6111310</v>
      </c>
      <c r="E1231" t="s">
        <v>199</v>
      </c>
      <c r="F1231">
        <v>5105010125</v>
      </c>
      <c r="G1231" s="13">
        <v>1766.58</v>
      </c>
      <c r="I1231" t="s">
        <v>160</v>
      </c>
      <c r="J1231" t="s">
        <v>583</v>
      </c>
      <c r="K1231" t="s">
        <v>170</v>
      </c>
      <c r="L1231">
        <v>5500000505</v>
      </c>
      <c r="M1231" t="s">
        <v>728</v>
      </c>
    </row>
    <row r="1232" spans="3:13">
      <c r="C1232">
        <v>2100300025</v>
      </c>
      <c r="D1232">
        <v>6111310</v>
      </c>
      <c r="E1232" t="s">
        <v>199</v>
      </c>
      <c r="F1232">
        <v>5105010125</v>
      </c>
      <c r="G1232" s="13">
        <v>9444.3799999999992</v>
      </c>
      <c r="I1232" t="s">
        <v>160</v>
      </c>
      <c r="J1232" t="s">
        <v>583</v>
      </c>
      <c r="K1232" t="s">
        <v>170</v>
      </c>
      <c r="L1232">
        <v>5500000505</v>
      </c>
      <c r="M1232" t="s">
        <v>728</v>
      </c>
    </row>
    <row r="1233" spans="3:13">
      <c r="C1233">
        <v>2100300025</v>
      </c>
      <c r="D1233">
        <v>6111310</v>
      </c>
      <c r="E1233" t="s">
        <v>199</v>
      </c>
      <c r="F1233">
        <v>5105010125</v>
      </c>
      <c r="G1233" s="13">
        <v>8269.69</v>
      </c>
      <c r="I1233" t="s">
        <v>160</v>
      </c>
      <c r="J1233" t="s">
        <v>583</v>
      </c>
      <c r="K1233" t="s">
        <v>170</v>
      </c>
      <c r="L1233">
        <v>5500000505</v>
      </c>
      <c r="M1233" t="s">
        <v>728</v>
      </c>
    </row>
    <row r="1234" spans="3:13">
      <c r="C1234">
        <v>2100300025</v>
      </c>
      <c r="D1234">
        <v>6111310</v>
      </c>
      <c r="E1234" t="s">
        <v>199</v>
      </c>
      <c r="F1234">
        <v>5105010125</v>
      </c>
      <c r="G1234">
        <v>211.48</v>
      </c>
      <c r="I1234" t="s">
        <v>160</v>
      </c>
      <c r="J1234" t="s">
        <v>583</v>
      </c>
      <c r="K1234" t="s">
        <v>170</v>
      </c>
      <c r="L1234">
        <v>5500000505</v>
      </c>
      <c r="M1234" t="s">
        <v>728</v>
      </c>
    </row>
    <row r="1235" spans="3:13">
      <c r="C1235">
        <v>2100300025</v>
      </c>
      <c r="D1235">
        <v>6111310</v>
      </c>
      <c r="E1235" t="s">
        <v>199</v>
      </c>
      <c r="F1235">
        <v>5105010125</v>
      </c>
      <c r="G1235" s="13">
        <v>42465.75</v>
      </c>
      <c r="I1235" t="s">
        <v>160</v>
      </c>
      <c r="J1235" t="s">
        <v>583</v>
      </c>
      <c r="K1235" t="s">
        <v>170</v>
      </c>
      <c r="L1235">
        <v>5500000505</v>
      </c>
      <c r="M1235" t="s">
        <v>728</v>
      </c>
    </row>
    <row r="1236" spans="3:13">
      <c r="C1236">
        <v>2100300025</v>
      </c>
      <c r="D1236">
        <v>6111310</v>
      </c>
      <c r="E1236" t="s">
        <v>199</v>
      </c>
      <c r="F1236">
        <v>5105010125</v>
      </c>
      <c r="G1236" s="13">
        <v>321881.90999999997</v>
      </c>
      <c r="I1236" t="s">
        <v>160</v>
      </c>
      <c r="J1236" t="s">
        <v>583</v>
      </c>
      <c r="K1236" t="s">
        <v>170</v>
      </c>
      <c r="L1236">
        <v>5500000505</v>
      </c>
      <c r="M1236" t="s">
        <v>728</v>
      </c>
    </row>
    <row r="1237" spans="3:13">
      <c r="C1237">
        <v>2100300025</v>
      </c>
      <c r="D1237">
        <v>6111310</v>
      </c>
      <c r="E1237" t="s">
        <v>199</v>
      </c>
      <c r="F1237">
        <v>5105010125</v>
      </c>
      <c r="G1237">
        <v>254.79</v>
      </c>
      <c r="I1237" t="s">
        <v>160</v>
      </c>
      <c r="J1237" t="s">
        <v>583</v>
      </c>
      <c r="K1237" t="s">
        <v>170</v>
      </c>
      <c r="L1237">
        <v>5500000505</v>
      </c>
      <c r="M1237" t="s">
        <v>728</v>
      </c>
    </row>
    <row r="1238" spans="3:13">
      <c r="C1238">
        <v>2100300025</v>
      </c>
      <c r="D1238">
        <v>6111310</v>
      </c>
      <c r="E1238" t="s">
        <v>199</v>
      </c>
      <c r="F1238">
        <v>5105010125</v>
      </c>
      <c r="G1238" s="13">
        <v>311498.63</v>
      </c>
      <c r="I1238" t="s">
        <v>160</v>
      </c>
      <c r="J1238" t="s">
        <v>585</v>
      </c>
      <c r="K1238" t="s">
        <v>170</v>
      </c>
      <c r="L1238">
        <v>5500000582</v>
      </c>
      <c r="M1238" t="s">
        <v>729</v>
      </c>
    </row>
    <row r="1239" spans="3:13">
      <c r="C1239">
        <v>2100300025</v>
      </c>
      <c r="D1239">
        <v>6111310</v>
      </c>
      <c r="E1239" t="s">
        <v>199</v>
      </c>
      <c r="F1239">
        <v>5105010125</v>
      </c>
      <c r="G1239">
        <v>246.58</v>
      </c>
      <c r="I1239" t="s">
        <v>160</v>
      </c>
      <c r="J1239" t="s">
        <v>585</v>
      </c>
      <c r="K1239" t="s">
        <v>170</v>
      </c>
      <c r="L1239">
        <v>5500000582</v>
      </c>
      <c r="M1239" t="s">
        <v>729</v>
      </c>
    </row>
    <row r="1240" spans="3:13">
      <c r="C1240">
        <v>2100300025</v>
      </c>
      <c r="D1240">
        <v>6111310</v>
      </c>
      <c r="E1240" t="s">
        <v>199</v>
      </c>
      <c r="F1240">
        <v>5105010125</v>
      </c>
      <c r="G1240">
        <v>204.65</v>
      </c>
      <c r="I1240" t="s">
        <v>160</v>
      </c>
      <c r="J1240" t="s">
        <v>585</v>
      </c>
      <c r="K1240" t="s">
        <v>170</v>
      </c>
      <c r="L1240">
        <v>5500000582</v>
      </c>
      <c r="M1240" t="s">
        <v>729</v>
      </c>
    </row>
    <row r="1241" spans="3:13">
      <c r="C1241">
        <v>2100300025</v>
      </c>
      <c r="D1241">
        <v>6111310</v>
      </c>
      <c r="E1241" t="s">
        <v>199</v>
      </c>
      <c r="F1241">
        <v>5105010125</v>
      </c>
      <c r="G1241" s="13">
        <v>3616.42</v>
      </c>
      <c r="I1241" t="s">
        <v>160</v>
      </c>
      <c r="J1241" t="s">
        <v>585</v>
      </c>
      <c r="K1241" t="s">
        <v>170</v>
      </c>
      <c r="L1241">
        <v>5500000582</v>
      </c>
      <c r="M1241" t="s">
        <v>729</v>
      </c>
    </row>
    <row r="1242" spans="3:13">
      <c r="C1242">
        <v>2100300025</v>
      </c>
      <c r="D1242">
        <v>6111310</v>
      </c>
      <c r="E1242" t="s">
        <v>199</v>
      </c>
      <c r="F1242">
        <v>5105010125</v>
      </c>
      <c r="G1242">
        <v>756.16</v>
      </c>
      <c r="I1242" t="s">
        <v>160</v>
      </c>
      <c r="J1242" t="s">
        <v>585</v>
      </c>
      <c r="K1242" t="s">
        <v>170</v>
      </c>
      <c r="L1242">
        <v>5500000582</v>
      </c>
      <c r="M1242" t="s">
        <v>729</v>
      </c>
    </row>
    <row r="1243" spans="3:13">
      <c r="C1243">
        <v>2100300025</v>
      </c>
      <c r="D1243">
        <v>6111310</v>
      </c>
      <c r="E1243" t="s">
        <v>199</v>
      </c>
      <c r="F1243">
        <v>5105010125</v>
      </c>
      <c r="G1243">
        <v>158.30000000000001</v>
      </c>
      <c r="I1243" t="s">
        <v>160</v>
      </c>
      <c r="J1243" t="s">
        <v>585</v>
      </c>
      <c r="K1243" t="s">
        <v>170</v>
      </c>
      <c r="L1243">
        <v>5500000582</v>
      </c>
      <c r="M1243" t="s">
        <v>729</v>
      </c>
    </row>
    <row r="1244" spans="3:13">
      <c r="C1244">
        <v>2100300025</v>
      </c>
      <c r="D1244">
        <v>6111310</v>
      </c>
      <c r="E1244" t="s">
        <v>199</v>
      </c>
      <c r="F1244">
        <v>5105010125</v>
      </c>
      <c r="G1244" s="13">
        <v>1709.58</v>
      </c>
      <c r="I1244" t="s">
        <v>160</v>
      </c>
      <c r="J1244" t="s">
        <v>585</v>
      </c>
      <c r="K1244" t="s">
        <v>170</v>
      </c>
      <c r="L1244">
        <v>5500000582</v>
      </c>
      <c r="M1244" t="s">
        <v>729</v>
      </c>
    </row>
    <row r="1245" spans="3:13">
      <c r="C1245">
        <v>2100300025</v>
      </c>
      <c r="D1245">
        <v>6111310</v>
      </c>
      <c r="E1245" t="s">
        <v>199</v>
      </c>
      <c r="F1245">
        <v>5105010125</v>
      </c>
      <c r="G1245" s="13">
        <v>9139.7199999999993</v>
      </c>
      <c r="I1245" t="s">
        <v>160</v>
      </c>
      <c r="J1245" t="s">
        <v>585</v>
      </c>
      <c r="K1245" t="s">
        <v>170</v>
      </c>
      <c r="L1245">
        <v>5500000582</v>
      </c>
      <c r="M1245" t="s">
        <v>729</v>
      </c>
    </row>
    <row r="1246" spans="3:13">
      <c r="C1246">
        <v>2100300025</v>
      </c>
      <c r="D1246">
        <v>6111310</v>
      </c>
      <c r="E1246" t="s">
        <v>199</v>
      </c>
      <c r="F1246">
        <v>5105010125</v>
      </c>
      <c r="G1246" s="13">
        <v>8003.06</v>
      </c>
      <c r="I1246" t="s">
        <v>160</v>
      </c>
      <c r="J1246" t="s">
        <v>585</v>
      </c>
      <c r="K1246" t="s">
        <v>170</v>
      </c>
      <c r="L1246">
        <v>5500000582</v>
      </c>
      <c r="M1246" t="s">
        <v>729</v>
      </c>
    </row>
    <row r="1247" spans="3:13">
      <c r="C1247">
        <v>2100300025</v>
      </c>
      <c r="D1247">
        <v>6111310</v>
      </c>
      <c r="E1247" t="s">
        <v>199</v>
      </c>
      <c r="F1247">
        <v>5105010125</v>
      </c>
      <c r="G1247" s="13">
        <v>41095.89</v>
      </c>
      <c r="I1247" t="s">
        <v>160</v>
      </c>
      <c r="J1247" t="s">
        <v>585</v>
      </c>
      <c r="K1247" t="s">
        <v>170</v>
      </c>
      <c r="L1247">
        <v>5500000582</v>
      </c>
      <c r="M1247" t="s">
        <v>729</v>
      </c>
    </row>
    <row r="1248" spans="3:13">
      <c r="C1248">
        <v>2100300025</v>
      </c>
      <c r="D1248">
        <v>6111310</v>
      </c>
      <c r="E1248" t="s">
        <v>199</v>
      </c>
      <c r="F1248">
        <v>5105010125</v>
      </c>
      <c r="G1248" s="13">
        <v>8269.82</v>
      </c>
      <c r="I1248" t="s">
        <v>160</v>
      </c>
      <c r="J1248" t="s">
        <v>587</v>
      </c>
      <c r="K1248" t="s">
        <v>170</v>
      </c>
      <c r="L1248">
        <v>5500000659</v>
      </c>
      <c r="M1248" t="s">
        <v>730</v>
      </c>
    </row>
    <row r="1249" spans="3:13">
      <c r="C1249">
        <v>2100300025</v>
      </c>
      <c r="D1249">
        <v>6111310</v>
      </c>
      <c r="E1249" t="s">
        <v>199</v>
      </c>
      <c r="F1249">
        <v>5105010125</v>
      </c>
      <c r="G1249" s="13">
        <v>9444.4</v>
      </c>
      <c r="I1249" t="s">
        <v>160</v>
      </c>
      <c r="J1249" t="s">
        <v>587</v>
      </c>
      <c r="K1249" t="s">
        <v>170</v>
      </c>
      <c r="L1249">
        <v>5500000659</v>
      </c>
      <c r="M1249" t="s">
        <v>730</v>
      </c>
    </row>
    <row r="1250" spans="3:13">
      <c r="C1250">
        <v>2100300025</v>
      </c>
      <c r="D1250">
        <v>6111310</v>
      </c>
      <c r="E1250" t="s">
        <v>199</v>
      </c>
      <c r="F1250">
        <v>5105010125</v>
      </c>
      <c r="G1250" s="13">
        <v>42465.760000000002</v>
      </c>
      <c r="I1250" t="s">
        <v>160</v>
      </c>
      <c r="J1250" t="s">
        <v>587</v>
      </c>
      <c r="K1250" t="s">
        <v>170</v>
      </c>
      <c r="L1250">
        <v>5500000659</v>
      </c>
      <c r="M1250" t="s">
        <v>730</v>
      </c>
    </row>
    <row r="1251" spans="3:13">
      <c r="C1251">
        <v>2100300025</v>
      </c>
      <c r="D1251">
        <v>6111310</v>
      </c>
      <c r="E1251" t="s">
        <v>199</v>
      </c>
      <c r="F1251">
        <v>5105010125</v>
      </c>
      <c r="G1251" s="13">
        <v>321881.92</v>
      </c>
      <c r="I1251" t="s">
        <v>160</v>
      </c>
      <c r="J1251" t="s">
        <v>587</v>
      </c>
      <c r="K1251" t="s">
        <v>170</v>
      </c>
      <c r="L1251">
        <v>5500000659</v>
      </c>
      <c r="M1251" t="s">
        <v>730</v>
      </c>
    </row>
    <row r="1252" spans="3:13">
      <c r="C1252">
        <v>2100300025</v>
      </c>
      <c r="D1252">
        <v>6111310</v>
      </c>
      <c r="E1252" t="s">
        <v>199</v>
      </c>
      <c r="F1252">
        <v>5105010125</v>
      </c>
      <c r="G1252">
        <v>254.79</v>
      </c>
      <c r="I1252" t="s">
        <v>160</v>
      </c>
      <c r="J1252" t="s">
        <v>587</v>
      </c>
      <c r="K1252" t="s">
        <v>170</v>
      </c>
      <c r="L1252">
        <v>5500000659</v>
      </c>
      <c r="M1252" t="s">
        <v>730</v>
      </c>
    </row>
    <row r="1253" spans="3:13">
      <c r="C1253">
        <v>2100300025</v>
      </c>
      <c r="D1253">
        <v>6111310</v>
      </c>
      <c r="E1253" t="s">
        <v>199</v>
      </c>
      <c r="F1253">
        <v>5105010125</v>
      </c>
      <c r="G1253">
        <v>211.48</v>
      </c>
      <c r="I1253" t="s">
        <v>160</v>
      </c>
      <c r="J1253" t="s">
        <v>587</v>
      </c>
      <c r="K1253" t="s">
        <v>170</v>
      </c>
      <c r="L1253">
        <v>5500000659</v>
      </c>
      <c r="M1253" t="s">
        <v>730</v>
      </c>
    </row>
    <row r="1254" spans="3:13">
      <c r="C1254">
        <v>2100300025</v>
      </c>
      <c r="D1254">
        <v>6111310</v>
      </c>
      <c r="E1254" t="s">
        <v>199</v>
      </c>
      <c r="F1254">
        <v>5105010125</v>
      </c>
      <c r="G1254" s="13">
        <v>3737</v>
      </c>
      <c r="I1254" t="s">
        <v>160</v>
      </c>
      <c r="J1254" t="s">
        <v>587</v>
      </c>
      <c r="K1254" t="s">
        <v>170</v>
      </c>
      <c r="L1254">
        <v>5500000659</v>
      </c>
      <c r="M1254" t="s">
        <v>730</v>
      </c>
    </row>
    <row r="1255" spans="3:13">
      <c r="C1255">
        <v>2100300025</v>
      </c>
      <c r="D1255">
        <v>6111310</v>
      </c>
      <c r="E1255" t="s">
        <v>199</v>
      </c>
      <c r="F1255">
        <v>5105010125</v>
      </c>
      <c r="G1255">
        <v>781.36</v>
      </c>
      <c r="I1255" t="s">
        <v>160</v>
      </c>
      <c r="J1255" t="s">
        <v>587</v>
      </c>
      <c r="K1255" t="s">
        <v>170</v>
      </c>
      <c r="L1255">
        <v>5500000659</v>
      </c>
      <c r="M1255" t="s">
        <v>730</v>
      </c>
    </row>
    <row r="1256" spans="3:13">
      <c r="C1256">
        <v>2100300025</v>
      </c>
      <c r="D1256">
        <v>6111310</v>
      </c>
      <c r="E1256" t="s">
        <v>199</v>
      </c>
      <c r="F1256">
        <v>5105010125</v>
      </c>
      <c r="G1256">
        <v>163.58000000000001</v>
      </c>
      <c r="I1256" t="s">
        <v>160</v>
      </c>
      <c r="J1256" t="s">
        <v>587</v>
      </c>
      <c r="K1256" t="s">
        <v>170</v>
      </c>
      <c r="L1256">
        <v>5500000659</v>
      </c>
      <c r="M1256" t="s">
        <v>730</v>
      </c>
    </row>
    <row r="1257" spans="3:13">
      <c r="C1257">
        <v>2100300025</v>
      </c>
      <c r="D1257">
        <v>6111310</v>
      </c>
      <c r="E1257" t="s">
        <v>199</v>
      </c>
      <c r="F1257">
        <v>5105010125</v>
      </c>
      <c r="G1257" s="13">
        <v>1766.58</v>
      </c>
      <c r="I1257" t="s">
        <v>160</v>
      </c>
      <c r="J1257" t="s">
        <v>587</v>
      </c>
      <c r="K1257" t="s">
        <v>170</v>
      </c>
      <c r="L1257">
        <v>5500000659</v>
      </c>
      <c r="M1257" t="s">
        <v>730</v>
      </c>
    </row>
    <row r="1258" spans="3:13">
      <c r="C1258">
        <v>2100300025</v>
      </c>
      <c r="D1258">
        <v>6111310</v>
      </c>
      <c r="E1258" t="s">
        <v>199</v>
      </c>
      <c r="F1258">
        <v>5105010125</v>
      </c>
      <c r="G1258" s="13">
        <v>1766.58</v>
      </c>
      <c r="I1258" t="s">
        <v>160</v>
      </c>
      <c r="J1258" t="s">
        <v>589</v>
      </c>
      <c r="K1258" t="s">
        <v>170</v>
      </c>
      <c r="L1258">
        <v>5500000736</v>
      </c>
      <c r="M1258" t="s">
        <v>731</v>
      </c>
    </row>
    <row r="1259" spans="3:13">
      <c r="C1259">
        <v>2100300025</v>
      </c>
      <c r="D1259">
        <v>6111310</v>
      </c>
      <c r="E1259" t="s">
        <v>199</v>
      </c>
      <c r="F1259">
        <v>5105010125</v>
      </c>
      <c r="G1259" s="13">
        <v>9444.3799999999992</v>
      </c>
      <c r="I1259" t="s">
        <v>160</v>
      </c>
      <c r="J1259" t="s">
        <v>589</v>
      </c>
      <c r="K1259" t="s">
        <v>170</v>
      </c>
      <c r="L1259">
        <v>5500000736</v>
      </c>
      <c r="M1259" t="s">
        <v>731</v>
      </c>
    </row>
    <row r="1260" spans="3:13">
      <c r="C1260">
        <v>2100300025</v>
      </c>
      <c r="D1260">
        <v>6111310</v>
      </c>
      <c r="E1260" t="s">
        <v>199</v>
      </c>
      <c r="F1260">
        <v>5105010125</v>
      </c>
      <c r="G1260" s="13">
        <v>8269.69</v>
      </c>
      <c r="I1260" t="s">
        <v>160</v>
      </c>
      <c r="J1260" t="s">
        <v>589</v>
      </c>
      <c r="K1260" t="s">
        <v>170</v>
      </c>
      <c r="L1260">
        <v>5500000736</v>
      </c>
      <c r="M1260" t="s">
        <v>731</v>
      </c>
    </row>
    <row r="1261" spans="3:13">
      <c r="C1261">
        <v>2100300025</v>
      </c>
      <c r="D1261">
        <v>6111310</v>
      </c>
      <c r="E1261" t="s">
        <v>199</v>
      </c>
      <c r="F1261">
        <v>5105010125</v>
      </c>
      <c r="G1261" s="13">
        <v>42465.75</v>
      </c>
      <c r="I1261" t="s">
        <v>160</v>
      </c>
      <c r="J1261" t="s">
        <v>589</v>
      </c>
      <c r="K1261" t="s">
        <v>170</v>
      </c>
      <c r="L1261">
        <v>5500000737</v>
      </c>
      <c r="M1261" t="s">
        <v>721</v>
      </c>
    </row>
    <row r="1262" spans="3:13">
      <c r="C1262">
        <v>2100300025</v>
      </c>
      <c r="D1262">
        <v>6111310</v>
      </c>
      <c r="E1262" t="s">
        <v>199</v>
      </c>
      <c r="F1262">
        <v>5105010125</v>
      </c>
      <c r="G1262" s="13">
        <v>321881.92</v>
      </c>
      <c r="I1262" t="s">
        <v>160</v>
      </c>
      <c r="J1262" t="s">
        <v>589</v>
      </c>
      <c r="K1262" t="s">
        <v>170</v>
      </c>
      <c r="L1262">
        <v>5500000737</v>
      </c>
      <c r="M1262" t="s">
        <v>721</v>
      </c>
    </row>
    <row r="1263" spans="3:13">
      <c r="C1263">
        <v>2100300025</v>
      </c>
      <c r="D1263">
        <v>6111310</v>
      </c>
      <c r="E1263" t="s">
        <v>199</v>
      </c>
      <c r="F1263">
        <v>5105010125</v>
      </c>
      <c r="G1263">
        <v>254.79</v>
      </c>
      <c r="I1263" t="s">
        <v>160</v>
      </c>
      <c r="J1263" t="s">
        <v>589</v>
      </c>
      <c r="K1263" t="s">
        <v>170</v>
      </c>
      <c r="L1263">
        <v>5500000737</v>
      </c>
      <c r="M1263" t="s">
        <v>721</v>
      </c>
    </row>
    <row r="1264" spans="3:13">
      <c r="C1264">
        <v>2100300025</v>
      </c>
      <c r="D1264">
        <v>6111310</v>
      </c>
      <c r="E1264" t="s">
        <v>199</v>
      </c>
      <c r="F1264">
        <v>5105010125</v>
      </c>
      <c r="G1264">
        <v>211.48</v>
      </c>
      <c r="I1264" t="s">
        <v>160</v>
      </c>
      <c r="J1264" t="s">
        <v>589</v>
      </c>
      <c r="K1264" t="s">
        <v>170</v>
      </c>
      <c r="L1264">
        <v>5500000737</v>
      </c>
      <c r="M1264" t="s">
        <v>721</v>
      </c>
    </row>
    <row r="1265" spans="3:13">
      <c r="C1265">
        <v>2100300025</v>
      </c>
      <c r="D1265">
        <v>6111310</v>
      </c>
      <c r="E1265" t="s">
        <v>199</v>
      </c>
      <c r="F1265">
        <v>5105010125</v>
      </c>
      <c r="G1265" s="13">
        <v>3736.98</v>
      </c>
      <c r="I1265" t="s">
        <v>160</v>
      </c>
      <c r="J1265" t="s">
        <v>589</v>
      </c>
      <c r="K1265" t="s">
        <v>170</v>
      </c>
      <c r="L1265">
        <v>5500000737</v>
      </c>
      <c r="M1265" t="s">
        <v>721</v>
      </c>
    </row>
    <row r="1266" spans="3:13">
      <c r="C1266">
        <v>2100300025</v>
      </c>
      <c r="D1266">
        <v>6111310</v>
      </c>
      <c r="E1266" t="s">
        <v>199</v>
      </c>
      <c r="F1266">
        <v>5105010125</v>
      </c>
      <c r="G1266">
        <v>781.38</v>
      </c>
      <c r="I1266" t="s">
        <v>160</v>
      </c>
      <c r="J1266" t="s">
        <v>589</v>
      </c>
      <c r="K1266" t="s">
        <v>170</v>
      </c>
      <c r="L1266">
        <v>5500000737</v>
      </c>
      <c r="M1266" t="s">
        <v>721</v>
      </c>
    </row>
    <row r="1267" spans="3:13">
      <c r="C1267">
        <v>2100300025</v>
      </c>
      <c r="D1267">
        <v>6111310</v>
      </c>
      <c r="E1267" t="s">
        <v>199</v>
      </c>
      <c r="F1267">
        <v>5105010125</v>
      </c>
      <c r="G1267">
        <v>163.58000000000001</v>
      </c>
      <c r="I1267" t="s">
        <v>160</v>
      </c>
      <c r="J1267" t="s">
        <v>589</v>
      </c>
      <c r="K1267" t="s">
        <v>170</v>
      </c>
      <c r="L1267">
        <v>5500000737</v>
      </c>
      <c r="M1267" t="s">
        <v>721</v>
      </c>
    </row>
    <row r="1268" spans="3:13">
      <c r="C1268">
        <v>2100300025</v>
      </c>
      <c r="D1268">
        <v>6111310</v>
      </c>
      <c r="E1268" t="s">
        <v>199</v>
      </c>
      <c r="F1268">
        <v>5105010125</v>
      </c>
      <c r="G1268" s="13">
        <v>41095.89</v>
      </c>
      <c r="I1268" t="s">
        <v>160</v>
      </c>
      <c r="J1268" t="s">
        <v>591</v>
      </c>
      <c r="K1268" t="s">
        <v>170</v>
      </c>
      <c r="L1268">
        <v>5500000813</v>
      </c>
      <c r="M1268" t="s">
        <v>732</v>
      </c>
    </row>
    <row r="1269" spans="3:13">
      <c r="C1269">
        <v>2100300025</v>
      </c>
      <c r="D1269">
        <v>6111310</v>
      </c>
      <c r="E1269" t="s">
        <v>199</v>
      </c>
      <c r="F1269">
        <v>5105010125</v>
      </c>
      <c r="G1269" s="13">
        <v>311498.63</v>
      </c>
      <c r="I1269" t="s">
        <v>160</v>
      </c>
      <c r="J1269" t="s">
        <v>591</v>
      </c>
      <c r="K1269" t="s">
        <v>170</v>
      </c>
      <c r="L1269">
        <v>5500000813</v>
      </c>
      <c r="M1269" t="s">
        <v>732</v>
      </c>
    </row>
    <row r="1270" spans="3:13">
      <c r="C1270">
        <v>2100300025</v>
      </c>
      <c r="D1270">
        <v>6111310</v>
      </c>
      <c r="E1270" t="s">
        <v>199</v>
      </c>
      <c r="F1270">
        <v>5105010125</v>
      </c>
      <c r="G1270">
        <v>246.58</v>
      </c>
      <c r="I1270" t="s">
        <v>160</v>
      </c>
      <c r="J1270" t="s">
        <v>591</v>
      </c>
      <c r="K1270" t="s">
        <v>170</v>
      </c>
      <c r="L1270">
        <v>5500000813</v>
      </c>
      <c r="M1270" t="s">
        <v>732</v>
      </c>
    </row>
    <row r="1271" spans="3:13">
      <c r="C1271">
        <v>2100300025</v>
      </c>
      <c r="D1271">
        <v>6111310</v>
      </c>
      <c r="E1271" t="s">
        <v>199</v>
      </c>
      <c r="F1271">
        <v>5105010125</v>
      </c>
      <c r="G1271">
        <v>204.66</v>
      </c>
      <c r="I1271" t="s">
        <v>160</v>
      </c>
      <c r="J1271" t="s">
        <v>591</v>
      </c>
      <c r="K1271" t="s">
        <v>170</v>
      </c>
      <c r="L1271">
        <v>5500000813</v>
      </c>
      <c r="M1271" t="s">
        <v>732</v>
      </c>
    </row>
    <row r="1272" spans="3:13">
      <c r="C1272">
        <v>2100300025</v>
      </c>
      <c r="D1272">
        <v>6111310</v>
      </c>
      <c r="E1272" t="s">
        <v>199</v>
      </c>
      <c r="F1272">
        <v>5105010125</v>
      </c>
      <c r="G1272" s="13">
        <v>3616.44</v>
      </c>
      <c r="I1272" t="s">
        <v>160</v>
      </c>
      <c r="J1272" t="s">
        <v>591</v>
      </c>
      <c r="K1272" t="s">
        <v>170</v>
      </c>
      <c r="L1272">
        <v>5500000813</v>
      </c>
      <c r="M1272" t="s">
        <v>732</v>
      </c>
    </row>
    <row r="1273" spans="3:13">
      <c r="C1273">
        <v>2100300025</v>
      </c>
      <c r="D1273">
        <v>6111310</v>
      </c>
      <c r="E1273" t="s">
        <v>199</v>
      </c>
      <c r="F1273">
        <v>5105010125</v>
      </c>
      <c r="G1273">
        <v>756.16</v>
      </c>
      <c r="I1273" t="s">
        <v>160</v>
      </c>
      <c r="J1273" t="s">
        <v>591</v>
      </c>
      <c r="K1273" t="s">
        <v>170</v>
      </c>
      <c r="L1273">
        <v>5500000813</v>
      </c>
      <c r="M1273" t="s">
        <v>732</v>
      </c>
    </row>
    <row r="1274" spans="3:13">
      <c r="C1274">
        <v>2100300025</v>
      </c>
      <c r="D1274">
        <v>6111310</v>
      </c>
      <c r="E1274" t="s">
        <v>199</v>
      </c>
      <c r="F1274">
        <v>5105010125</v>
      </c>
      <c r="G1274">
        <v>158.30000000000001</v>
      </c>
      <c r="I1274" t="s">
        <v>160</v>
      </c>
      <c r="J1274" t="s">
        <v>591</v>
      </c>
      <c r="K1274" t="s">
        <v>170</v>
      </c>
      <c r="L1274">
        <v>5500000813</v>
      </c>
      <c r="M1274" t="s">
        <v>732</v>
      </c>
    </row>
    <row r="1275" spans="3:13">
      <c r="C1275">
        <v>2100300025</v>
      </c>
      <c r="D1275">
        <v>6111310</v>
      </c>
      <c r="E1275" t="s">
        <v>199</v>
      </c>
      <c r="F1275">
        <v>5105010125</v>
      </c>
      <c r="G1275" s="13">
        <v>1709.58</v>
      </c>
      <c r="I1275" t="s">
        <v>160</v>
      </c>
      <c r="J1275" t="s">
        <v>591</v>
      </c>
      <c r="K1275" t="s">
        <v>170</v>
      </c>
      <c r="L1275">
        <v>5500000813</v>
      </c>
      <c r="M1275" t="s">
        <v>732</v>
      </c>
    </row>
    <row r="1276" spans="3:13">
      <c r="C1276">
        <v>2100300025</v>
      </c>
      <c r="D1276">
        <v>6111310</v>
      </c>
      <c r="E1276" t="s">
        <v>199</v>
      </c>
      <c r="F1276">
        <v>5105010125</v>
      </c>
      <c r="G1276" s="13">
        <v>9139.7199999999993</v>
      </c>
      <c r="I1276" t="s">
        <v>160</v>
      </c>
      <c r="J1276" t="s">
        <v>591</v>
      </c>
      <c r="K1276" t="s">
        <v>170</v>
      </c>
      <c r="L1276">
        <v>5500000813</v>
      </c>
      <c r="M1276" t="s">
        <v>732</v>
      </c>
    </row>
    <row r="1277" spans="3:13">
      <c r="C1277">
        <v>2100300025</v>
      </c>
      <c r="D1277">
        <v>6111310</v>
      </c>
      <c r="E1277" t="s">
        <v>199</v>
      </c>
      <c r="F1277">
        <v>5105010125</v>
      </c>
      <c r="G1277" s="13">
        <v>8003.06</v>
      </c>
      <c r="I1277" t="s">
        <v>160</v>
      </c>
      <c r="J1277" t="s">
        <v>591</v>
      </c>
      <c r="K1277" t="s">
        <v>170</v>
      </c>
      <c r="L1277">
        <v>5500000813</v>
      </c>
      <c r="M1277" t="s">
        <v>732</v>
      </c>
    </row>
    <row r="1278" spans="3:13">
      <c r="C1278">
        <v>2100300025</v>
      </c>
      <c r="D1278">
        <v>6111310</v>
      </c>
      <c r="E1278" t="s">
        <v>201</v>
      </c>
      <c r="F1278">
        <v>5105010125</v>
      </c>
      <c r="G1278" s="13">
        <v>1158161.04</v>
      </c>
      <c r="I1278" t="s">
        <v>160</v>
      </c>
      <c r="J1278" t="s">
        <v>571</v>
      </c>
      <c r="K1278" t="s">
        <v>170</v>
      </c>
      <c r="L1278">
        <v>5500000055</v>
      </c>
      <c r="M1278" t="s">
        <v>722</v>
      </c>
    </row>
    <row r="1279" spans="3:13">
      <c r="C1279">
        <v>2100300025</v>
      </c>
      <c r="D1279">
        <v>6111310</v>
      </c>
      <c r="E1279" t="s">
        <v>201</v>
      </c>
      <c r="F1279">
        <v>5105010125</v>
      </c>
      <c r="G1279" s="13">
        <v>588573.64</v>
      </c>
      <c r="I1279" t="s">
        <v>160</v>
      </c>
      <c r="J1279" t="s">
        <v>573</v>
      </c>
      <c r="K1279" t="s">
        <v>170</v>
      </c>
      <c r="L1279">
        <v>5500000129</v>
      </c>
      <c r="M1279" t="s">
        <v>713</v>
      </c>
    </row>
    <row r="1280" spans="3:13">
      <c r="C1280">
        <v>2100300025</v>
      </c>
      <c r="D1280">
        <v>6111310</v>
      </c>
      <c r="E1280" t="s">
        <v>201</v>
      </c>
      <c r="F1280">
        <v>5105010125</v>
      </c>
      <c r="G1280" s="13">
        <v>588573.65</v>
      </c>
      <c r="I1280" t="s">
        <v>160</v>
      </c>
      <c r="J1280" t="s">
        <v>575</v>
      </c>
      <c r="K1280" t="s">
        <v>170</v>
      </c>
      <c r="L1280">
        <v>5500000202</v>
      </c>
      <c r="M1280" t="s">
        <v>724</v>
      </c>
    </row>
    <row r="1281" spans="3:13">
      <c r="C1281">
        <v>2100300025</v>
      </c>
      <c r="D1281">
        <v>6111310</v>
      </c>
      <c r="E1281" t="s">
        <v>201</v>
      </c>
      <c r="F1281">
        <v>5105010125</v>
      </c>
      <c r="G1281" s="13">
        <v>531614.9</v>
      </c>
      <c r="I1281" t="s">
        <v>160</v>
      </c>
      <c r="J1281" t="s">
        <v>577</v>
      </c>
      <c r="K1281" t="s">
        <v>170</v>
      </c>
      <c r="L1281">
        <v>5500000277</v>
      </c>
      <c r="M1281" t="s">
        <v>725</v>
      </c>
    </row>
    <row r="1282" spans="3:13">
      <c r="C1282">
        <v>2100300025</v>
      </c>
      <c r="D1282">
        <v>6111310</v>
      </c>
      <c r="E1282" t="s">
        <v>201</v>
      </c>
      <c r="F1282">
        <v>5105010125</v>
      </c>
      <c r="G1282" s="13">
        <v>588573.65</v>
      </c>
      <c r="I1282" t="s">
        <v>160</v>
      </c>
      <c r="J1282" t="s">
        <v>579</v>
      </c>
      <c r="K1282" t="s">
        <v>170</v>
      </c>
      <c r="L1282">
        <v>5500000353</v>
      </c>
      <c r="M1282" t="s">
        <v>726</v>
      </c>
    </row>
    <row r="1283" spans="3:13">
      <c r="C1283">
        <v>2100300025</v>
      </c>
      <c r="D1283">
        <v>6111310</v>
      </c>
      <c r="E1283" t="s">
        <v>201</v>
      </c>
      <c r="F1283">
        <v>5105010125</v>
      </c>
      <c r="G1283" s="13">
        <v>569587.39</v>
      </c>
      <c r="I1283" t="s">
        <v>160</v>
      </c>
      <c r="J1283" t="s">
        <v>581</v>
      </c>
      <c r="K1283" t="s">
        <v>170</v>
      </c>
      <c r="L1283">
        <v>5500000428</v>
      </c>
      <c r="M1283" t="s">
        <v>727</v>
      </c>
    </row>
    <row r="1284" spans="3:13">
      <c r="C1284">
        <v>2100300025</v>
      </c>
      <c r="D1284">
        <v>6111310</v>
      </c>
      <c r="E1284" t="s">
        <v>201</v>
      </c>
      <c r="F1284">
        <v>5105010125</v>
      </c>
      <c r="G1284" s="13">
        <v>588573.65</v>
      </c>
      <c r="I1284" t="s">
        <v>160</v>
      </c>
      <c r="J1284" t="s">
        <v>583</v>
      </c>
      <c r="K1284" t="s">
        <v>170</v>
      </c>
      <c r="L1284">
        <v>5500000505</v>
      </c>
      <c r="M1284" t="s">
        <v>728</v>
      </c>
    </row>
    <row r="1285" spans="3:13">
      <c r="C1285">
        <v>2100300025</v>
      </c>
      <c r="D1285">
        <v>6111310</v>
      </c>
      <c r="E1285" t="s">
        <v>201</v>
      </c>
      <c r="F1285">
        <v>5105010125</v>
      </c>
      <c r="G1285" s="13">
        <v>569587.4</v>
      </c>
      <c r="I1285" t="s">
        <v>160</v>
      </c>
      <c r="J1285" t="s">
        <v>585</v>
      </c>
      <c r="K1285" t="s">
        <v>170</v>
      </c>
      <c r="L1285">
        <v>5500000582</v>
      </c>
      <c r="M1285" t="s">
        <v>729</v>
      </c>
    </row>
    <row r="1286" spans="3:13">
      <c r="C1286">
        <v>2100300025</v>
      </c>
      <c r="D1286">
        <v>6111310</v>
      </c>
      <c r="E1286" t="s">
        <v>201</v>
      </c>
      <c r="F1286">
        <v>5105010125</v>
      </c>
      <c r="G1286" s="13">
        <v>588573.64</v>
      </c>
      <c r="I1286" t="s">
        <v>160</v>
      </c>
      <c r="J1286" t="s">
        <v>587</v>
      </c>
      <c r="K1286" t="s">
        <v>170</v>
      </c>
      <c r="L1286">
        <v>5500000659</v>
      </c>
      <c r="M1286" t="s">
        <v>730</v>
      </c>
    </row>
    <row r="1287" spans="3:13">
      <c r="C1287">
        <v>2100300025</v>
      </c>
      <c r="D1287">
        <v>6111310</v>
      </c>
      <c r="E1287" t="s">
        <v>201</v>
      </c>
      <c r="F1287">
        <v>5105010125</v>
      </c>
      <c r="G1287" s="13">
        <v>588573.64</v>
      </c>
      <c r="I1287" t="s">
        <v>160</v>
      </c>
      <c r="J1287" t="s">
        <v>589</v>
      </c>
      <c r="K1287" t="s">
        <v>170</v>
      </c>
      <c r="L1287">
        <v>5500000736</v>
      </c>
      <c r="M1287" t="s">
        <v>731</v>
      </c>
    </row>
    <row r="1288" spans="3:13">
      <c r="C1288">
        <v>2100300025</v>
      </c>
      <c r="D1288">
        <v>6111310</v>
      </c>
      <c r="E1288" t="s">
        <v>201</v>
      </c>
      <c r="F1288">
        <v>5105010125</v>
      </c>
      <c r="G1288" s="13">
        <v>569587.4</v>
      </c>
      <c r="I1288" t="s">
        <v>160</v>
      </c>
      <c r="J1288" t="s">
        <v>591</v>
      </c>
      <c r="K1288" t="s">
        <v>170</v>
      </c>
      <c r="L1288">
        <v>5500000813</v>
      </c>
      <c r="M1288" t="s">
        <v>732</v>
      </c>
    </row>
    <row r="1289" spans="3:13">
      <c r="C1289">
        <v>2100300025</v>
      </c>
      <c r="D1289">
        <v>6226000</v>
      </c>
      <c r="E1289" t="s">
        <v>188</v>
      </c>
      <c r="F1289">
        <v>5105010125</v>
      </c>
      <c r="G1289" s="13">
        <v>357475.24</v>
      </c>
      <c r="I1289" t="s">
        <v>160</v>
      </c>
      <c r="J1289" t="s">
        <v>571</v>
      </c>
      <c r="K1289" t="s">
        <v>170</v>
      </c>
      <c r="L1289">
        <v>5500000056</v>
      </c>
      <c r="M1289" t="s">
        <v>712</v>
      </c>
    </row>
    <row r="1290" spans="3:13">
      <c r="C1290">
        <v>2100300025</v>
      </c>
      <c r="D1290">
        <v>6226000</v>
      </c>
      <c r="E1290" t="s">
        <v>188</v>
      </c>
      <c r="F1290">
        <v>5105010125</v>
      </c>
      <c r="G1290" s="13">
        <v>181667.71</v>
      </c>
      <c r="I1290" t="s">
        <v>160</v>
      </c>
      <c r="J1290" t="s">
        <v>573</v>
      </c>
      <c r="K1290" t="s">
        <v>170</v>
      </c>
      <c r="L1290">
        <v>5500000130</v>
      </c>
      <c r="M1290" t="s">
        <v>733</v>
      </c>
    </row>
    <row r="1291" spans="3:13">
      <c r="C1291">
        <v>2100300025</v>
      </c>
      <c r="D1291">
        <v>6226000</v>
      </c>
      <c r="E1291" t="s">
        <v>188</v>
      </c>
      <c r="F1291">
        <v>5105010125</v>
      </c>
      <c r="G1291" s="13">
        <v>181667.82</v>
      </c>
      <c r="I1291" t="s">
        <v>160</v>
      </c>
      <c r="J1291" t="s">
        <v>575</v>
      </c>
      <c r="K1291" t="s">
        <v>170</v>
      </c>
      <c r="L1291">
        <v>5500000203</v>
      </c>
      <c r="M1291" t="s">
        <v>714</v>
      </c>
    </row>
    <row r="1292" spans="3:13">
      <c r="C1292">
        <v>2100300025</v>
      </c>
      <c r="D1292">
        <v>6226000</v>
      </c>
      <c r="E1292" t="s">
        <v>188</v>
      </c>
      <c r="F1292">
        <v>5105010125</v>
      </c>
      <c r="G1292" s="13">
        <v>164086.75</v>
      </c>
      <c r="I1292" t="s">
        <v>160</v>
      </c>
      <c r="J1292" t="s">
        <v>577</v>
      </c>
      <c r="K1292" t="s">
        <v>170</v>
      </c>
      <c r="L1292">
        <v>5500000278</v>
      </c>
      <c r="M1292" t="s">
        <v>715</v>
      </c>
    </row>
    <row r="1293" spans="3:13">
      <c r="C1293">
        <v>2100300025</v>
      </c>
      <c r="D1293">
        <v>6226000</v>
      </c>
      <c r="E1293" t="s">
        <v>188</v>
      </c>
      <c r="F1293">
        <v>5105010125</v>
      </c>
      <c r="G1293" s="13">
        <v>181667.84</v>
      </c>
      <c r="I1293" t="s">
        <v>160</v>
      </c>
      <c r="J1293" t="s">
        <v>579</v>
      </c>
      <c r="K1293" t="s">
        <v>170</v>
      </c>
      <c r="L1293">
        <v>5500000354</v>
      </c>
      <c r="M1293" t="s">
        <v>716</v>
      </c>
    </row>
    <row r="1294" spans="3:13">
      <c r="C1294">
        <v>2100300025</v>
      </c>
      <c r="D1294">
        <v>6226000</v>
      </c>
      <c r="E1294" t="s">
        <v>188</v>
      </c>
      <c r="F1294">
        <v>5105010125</v>
      </c>
      <c r="G1294" s="13">
        <v>175807.44</v>
      </c>
      <c r="I1294" t="s">
        <v>160</v>
      </c>
      <c r="J1294" t="s">
        <v>581</v>
      </c>
      <c r="K1294" t="s">
        <v>170</v>
      </c>
      <c r="L1294">
        <v>5500000429</v>
      </c>
      <c r="M1294" t="s">
        <v>717</v>
      </c>
    </row>
    <row r="1295" spans="3:13">
      <c r="C1295">
        <v>2100300025</v>
      </c>
      <c r="D1295">
        <v>6226000</v>
      </c>
      <c r="E1295" t="s">
        <v>188</v>
      </c>
      <c r="F1295">
        <v>5105010125</v>
      </c>
      <c r="G1295" s="13">
        <v>181667.78</v>
      </c>
      <c r="I1295" t="s">
        <v>160</v>
      </c>
      <c r="J1295" t="s">
        <v>583</v>
      </c>
      <c r="K1295" t="s">
        <v>170</v>
      </c>
      <c r="L1295">
        <v>5500000506</v>
      </c>
      <c r="M1295" t="s">
        <v>718</v>
      </c>
    </row>
    <row r="1296" spans="3:13">
      <c r="C1296">
        <v>2100300025</v>
      </c>
      <c r="D1296">
        <v>6226000</v>
      </c>
      <c r="E1296" t="s">
        <v>188</v>
      </c>
      <c r="F1296">
        <v>5105010125</v>
      </c>
      <c r="G1296" s="13">
        <v>175807.47</v>
      </c>
      <c r="I1296" t="s">
        <v>160</v>
      </c>
      <c r="J1296" t="s">
        <v>585</v>
      </c>
      <c r="K1296" t="s">
        <v>170</v>
      </c>
      <c r="L1296">
        <v>5500000583</v>
      </c>
      <c r="M1296" t="s">
        <v>719</v>
      </c>
    </row>
    <row r="1297" spans="3:13">
      <c r="C1297">
        <v>2100300025</v>
      </c>
      <c r="D1297">
        <v>6226000</v>
      </c>
      <c r="E1297" t="s">
        <v>188</v>
      </c>
      <c r="F1297">
        <v>5105010125</v>
      </c>
      <c r="G1297" s="13">
        <v>181667.71</v>
      </c>
      <c r="I1297" t="s">
        <v>160</v>
      </c>
      <c r="J1297" t="s">
        <v>587</v>
      </c>
      <c r="K1297" t="s">
        <v>170</v>
      </c>
      <c r="L1297">
        <v>5500000660</v>
      </c>
      <c r="M1297" t="s">
        <v>720</v>
      </c>
    </row>
    <row r="1298" spans="3:13">
      <c r="C1298">
        <v>2100300025</v>
      </c>
      <c r="D1298">
        <v>6226000</v>
      </c>
      <c r="E1298" t="s">
        <v>188</v>
      </c>
      <c r="F1298">
        <v>5105010125</v>
      </c>
      <c r="G1298" s="13">
        <v>181667.77</v>
      </c>
      <c r="I1298" t="s">
        <v>160</v>
      </c>
      <c r="J1298" t="s">
        <v>589</v>
      </c>
      <c r="K1298" t="s">
        <v>170</v>
      </c>
      <c r="L1298">
        <v>5500000737</v>
      </c>
      <c r="M1298" t="s">
        <v>721</v>
      </c>
    </row>
    <row r="1299" spans="3:13">
      <c r="C1299">
        <v>2100300025</v>
      </c>
      <c r="D1299">
        <v>6211310</v>
      </c>
      <c r="E1299" t="s">
        <v>488</v>
      </c>
      <c r="F1299">
        <v>5105010125</v>
      </c>
      <c r="G1299" s="13">
        <v>934219.18</v>
      </c>
      <c r="I1299" t="s">
        <v>160</v>
      </c>
      <c r="J1299" t="s">
        <v>571</v>
      </c>
      <c r="K1299" t="s">
        <v>170</v>
      </c>
      <c r="L1299">
        <v>5500000056</v>
      </c>
      <c r="M1299" t="s">
        <v>712</v>
      </c>
    </row>
    <row r="1300" spans="3:13">
      <c r="C1300">
        <v>2100300025</v>
      </c>
      <c r="D1300">
        <v>6211310</v>
      </c>
      <c r="E1300" t="s">
        <v>488</v>
      </c>
      <c r="F1300">
        <v>5105010125</v>
      </c>
      <c r="G1300" s="13">
        <v>180493.15</v>
      </c>
      <c r="I1300" t="s">
        <v>160</v>
      </c>
      <c r="J1300" t="s">
        <v>571</v>
      </c>
      <c r="K1300" t="s">
        <v>170</v>
      </c>
      <c r="L1300">
        <v>5500000056</v>
      </c>
      <c r="M1300" t="s">
        <v>712</v>
      </c>
    </row>
    <row r="1301" spans="3:13">
      <c r="C1301">
        <v>2100300025</v>
      </c>
      <c r="D1301">
        <v>6211310</v>
      </c>
      <c r="E1301" t="s">
        <v>488</v>
      </c>
      <c r="F1301">
        <v>5105010125</v>
      </c>
      <c r="G1301" s="13">
        <v>3305344.33</v>
      </c>
      <c r="I1301" t="s">
        <v>160</v>
      </c>
      <c r="J1301" t="s">
        <v>571</v>
      </c>
      <c r="K1301" t="s">
        <v>170</v>
      </c>
      <c r="L1301">
        <v>5500000056</v>
      </c>
      <c r="M1301" t="s">
        <v>712</v>
      </c>
    </row>
    <row r="1302" spans="3:13">
      <c r="C1302">
        <v>2100300025</v>
      </c>
      <c r="D1302">
        <v>6211310</v>
      </c>
      <c r="E1302" t="s">
        <v>488</v>
      </c>
      <c r="F1302">
        <v>5105010125</v>
      </c>
      <c r="G1302" s="13">
        <v>1679765.15</v>
      </c>
      <c r="I1302" t="s">
        <v>160</v>
      </c>
      <c r="J1302" t="s">
        <v>573</v>
      </c>
      <c r="K1302" t="s">
        <v>170</v>
      </c>
      <c r="L1302">
        <v>5500000129</v>
      </c>
      <c r="M1302" t="s">
        <v>713</v>
      </c>
    </row>
    <row r="1303" spans="3:13">
      <c r="C1303">
        <v>2100300025</v>
      </c>
      <c r="D1303">
        <v>6211310</v>
      </c>
      <c r="E1303" t="s">
        <v>488</v>
      </c>
      <c r="F1303">
        <v>5105010125</v>
      </c>
      <c r="G1303" s="13">
        <v>91726.03</v>
      </c>
      <c r="I1303" t="s">
        <v>160</v>
      </c>
      <c r="J1303" t="s">
        <v>573</v>
      </c>
      <c r="K1303" t="s">
        <v>170</v>
      </c>
      <c r="L1303">
        <v>5500000129</v>
      </c>
      <c r="M1303" t="s">
        <v>713</v>
      </c>
    </row>
    <row r="1304" spans="3:13">
      <c r="C1304">
        <v>2100300025</v>
      </c>
      <c r="D1304">
        <v>6211310</v>
      </c>
      <c r="E1304" t="s">
        <v>488</v>
      </c>
      <c r="F1304">
        <v>5105010125</v>
      </c>
      <c r="G1304" s="13">
        <v>474767.12</v>
      </c>
      <c r="I1304" t="s">
        <v>160</v>
      </c>
      <c r="J1304" t="s">
        <v>573</v>
      </c>
      <c r="K1304" t="s">
        <v>170</v>
      </c>
      <c r="L1304">
        <v>5500000129</v>
      </c>
      <c r="M1304" t="s">
        <v>713</v>
      </c>
    </row>
    <row r="1305" spans="3:13">
      <c r="C1305">
        <v>2100300025</v>
      </c>
      <c r="D1305">
        <v>6211310</v>
      </c>
      <c r="E1305" t="s">
        <v>488</v>
      </c>
      <c r="F1305">
        <v>5105010125</v>
      </c>
      <c r="G1305" s="13">
        <v>474767.12</v>
      </c>
      <c r="I1305" t="s">
        <v>160</v>
      </c>
      <c r="J1305" t="s">
        <v>575</v>
      </c>
      <c r="K1305" t="s">
        <v>170</v>
      </c>
      <c r="L1305">
        <v>5500000202</v>
      </c>
      <c r="M1305" t="s">
        <v>724</v>
      </c>
    </row>
    <row r="1306" spans="3:13">
      <c r="C1306">
        <v>2100300025</v>
      </c>
      <c r="D1306">
        <v>6211310</v>
      </c>
      <c r="E1306" t="s">
        <v>488</v>
      </c>
      <c r="F1306">
        <v>5105010125</v>
      </c>
      <c r="G1306" s="13">
        <v>91726.03</v>
      </c>
      <c r="I1306" t="s">
        <v>160</v>
      </c>
      <c r="J1306" t="s">
        <v>575</v>
      </c>
      <c r="K1306" t="s">
        <v>170</v>
      </c>
      <c r="L1306">
        <v>5500000202</v>
      </c>
      <c r="M1306" t="s">
        <v>724</v>
      </c>
    </row>
    <row r="1307" spans="3:13">
      <c r="C1307">
        <v>2100300025</v>
      </c>
      <c r="D1307">
        <v>6211310</v>
      </c>
      <c r="E1307" t="s">
        <v>488</v>
      </c>
      <c r="F1307">
        <v>5105010125</v>
      </c>
      <c r="G1307" s="13">
        <v>1679765.15</v>
      </c>
      <c r="I1307" t="s">
        <v>160</v>
      </c>
      <c r="J1307" t="s">
        <v>575</v>
      </c>
      <c r="K1307" t="s">
        <v>170</v>
      </c>
      <c r="L1307">
        <v>5500000202</v>
      </c>
      <c r="M1307" t="s">
        <v>724</v>
      </c>
    </row>
    <row r="1308" spans="3:13">
      <c r="C1308">
        <v>2100300025</v>
      </c>
      <c r="D1308">
        <v>6211310</v>
      </c>
      <c r="E1308" t="s">
        <v>488</v>
      </c>
      <c r="F1308">
        <v>5105010125</v>
      </c>
      <c r="G1308" s="13">
        <v>428821.92</v>
      </c>
      <c r="I1308" t="s">
        <v>160</v>
      </c>
      <c r="J1308" t="s">
        <v>577</v>
      </c>
      <c r="K1308" t="s">
        <v>170</v>
      </c>
      <c r="L1308">
        <v>5500000278</v>
      </c>
      <c r="M1308" t="s">
        <v>715</v>
      </c>
    </row>
    <row r="1309" spans="3:13">
      <c r="C1309">
        <v>2100300025</v>
      </c>
      <c r="D1309">
        <v>6211310</v>
      </c>
      <c r="E1309" t="s">
        <v>488</v>
      </c>
      <c r="F1309">
        <v>5105010125</v>
      </c>
      <c r="G1309" s="13">
        <v>82849.31</v>
      </c>
      <c r="I1309" t="s">
        <v>160</v>
      </c>
      <c r="J1309" t="s">
        <v>577</v>
      </c>
      <c r="K1309" t="s">
        <v>170</v>
      </c>
      <c r="L1309">
        <v>5500000278</v>
      </c>
      <c r="M1309" t="s">
        <v>715</v>
      </c>
    </row>
    <row r="1310" spans="3:13">
      <c r="C1310">
        <v>2100300025</v>
      </c>
      <c r="D1310">
        <v>6211310</v>
      </c>
      <c r="E1310" t="s">
        <v>488</v>
      </c>
      <c r="F1310">
        <v>5105010125</v>
      </c>
      <c r="G1310" s="13">
        <v>1517207.23</v>
      </c>
      <c r="I1310" t="s">
        <v>160</v>
      </c>
      <c r="J1310" t="s">
        <v>577</v>
      </c>
      <c r="K1310" t="s">
        <v>170</v>
      </c>
      <c r="L1310">
        <v>5500000278</v>
      </c>
      <c r="M1310" t="s">
        <v>715</v>
      </c>
    </row>
    <row r="1311" spans="3:13">
      <c r="C1311">
        <v>2100300025</v>
      </c>
      <c r="D1311">
        <v>6211310</v>
      </c>
      <c r="E1311" t="s">
        <v>488</v>
      </c>
      <c r="F1311">
        <v>5105010125</v>
      </c>
      <c r="G1311" s="13">
        <v>1679765.15</v>
      </c>
      <c r="I1311" t="s">
        <v>160</v>
      </c>
      <c r="J1311" t="s">
        <v>579</v>
      </c>
      <c r="K1311" t="s">
        <v>170</v>
      </c>
      <c r="L1311">
        <v>5500000353</v>
      </c>
      <c r="M1311" t="s">
        <v>726</v>
      </c>
    </row>
    <row r="1312" spans="3:13">
      <c r="C1312">
        <v>2100300025</v>
      </c>
      <c r="D1312">
        <v>6211310</v>
      </c>
      <c r="E1312" t="s">
        <v>488</v>
      </c>
      <c r="F1312">
        <v>5105010125</v>
      </c>
      <c r="G1312" s="13">
        <v>91726.03</v>
      </c>
      <c r="I1312" t="s">
        <v>160</v>
      </c>
      <c r="J1312" t="s">
        <v>579</v>
      </c>
      <c r="K1312" t="s">
        <v>170</v>
      </c>
      <c r="L1312">
        <v>5500000353</v>
      </c>
      <c r="M1312" t="s">
        <v>726</v>
      </c>
    </row>
    <row r="1313" spans="3:13">
      <c r="C1313">
        <v>2100300025</v>
      </c>
      <c r="D1313">
        <v>6211310</v>
      </c>
      <c r="E1313" t="s">
        <v>488</v>
      </c>
      <c r="F1313">
        <v>5105010125</v>
      </c>
      <c r="G1313" s="13">
        <v>474767.13</v>
      </c>
      <c r="I1313" t="s">
        <v>160</v>
      </c>
      <c r="J1313" t="s">
        <v>579</v>
      </c>
      <c r="K1313" t="s">
        <v>170</v>
      </c>
      <c r="L1313">
        <v>5500000353</v>
      </c>
      <c r="M1313" t="s">
        <v>726</v>
      </c>
    </row>
    <row r="1314" spans="3:13">
      <c r="C1314">
        <v>2100300025</v>
      </c>
      <c r="D1314">
        <v>6211310</v>
      </c>
      <c r="E1314" t="s">
        <v>488</v>
      </c>
      <c r="F1314">
        <v>5105010125</v>
      </c>
      <c r="G1314" s="13">
        <v>459452.05</v>
      </c>
      <c r="I1314" t="s">
        <v>160</v>
      </c>
      <c r="J1314" t="s">
        <v>581</v>
      </c>
      <c r="K1314" t="s">
        <v>170</v>
      </c>
      <c r="L1314">
        <v>5500000429</v>
      </c>
      <c r="M1314" t="s">
        <v>717</v>
      </c>
    </row>
    <row r="1315" spans="3:13">
      <c r="C1315">
        <v>2100300025</v>
      </c>
      <c r="D1315">
        <v>6211310</v>
      </c>
      <c r="E1315" t="s">
        <v>488</v>
      </c>
      <c r="F1315">
        <v>5105010125</v>
      </c>
      <c r="G1315" s="13">
        <v>88767.12</v>
      </c>
      <c r="I1315" t="s">
        <v>160</v>
      </c>
      <c r="J1315" t="s">
        <v>581</v>
      </c>
      <c r="K1315" t="s">
        <v>170</v>
      </c>
      <c r="L1315">
        <v>5500000429</v>
      </c>
      <c r="M1315" t="s">
        <v>717</v>
      </c>
    </row>
    <row r="1316" spans="3:13">
      <c r="C1316">
        <v>2100300025</v>
      </c>
      <c r="D1316">
        <v>6211310</v>
      </c>
      <c r="E1316" t="s">
        <v>488</v>
      </c>
      <c r="F1316">
        <v>5105010125</v>
      </c>
      <c r="G1316" s="13">
        <v>1625579.18</v>
      </c>
      <c r="I1316" t="s">
        <v>160</v>
      </c>
      <c r="J1316" t="s">
        <v>581</v>
      </c>
      <c r="K1316" t="s">
        <v>170</v>
      </c>
      <c r="L1316">
        <v>5500000429</v>
      </c>
      <c r="M1316" t="s">
        <v>717</v>
      </c>
    </row>
    <row r="1317" spans="3:13">
      <c r="C1317">
        <v>2100300025</v>
      </c>
      <c r="D1317">
        <v>6211310</v>
      </c>
      <c r="E1317" t="s">
        <v>488</v>
      </c>
      <c r="F1317">
        <v>5105010125</v>
      </c>
      <c r="G1317" s="13">
        <v>1679765.15</v>
      </c>
      <c r="I1317" t="s">
        <v>160</v>
      </c>
      <c r="J1317" t="s">
        <v>583</v>
      </c>
      <c r="K1317" t="s">
        <v>170</v>
      </c>
      <c r="L1317">
        <v>5500000505</v>
      </c>
      <c r="M1317" t="s">
        <v>728</v>
      </c>
    </row>
    <row r="1318" spans="3:13">
      <c r="C1318">
        <v>2100300025</v>
      </c>
      <c r="D1318">
        <v>6211310</v>
      </c>
      <c r="E1318" t="s">
        <v>488</v>
      </c>
      <c r="F1318">
        <v>5105010125</v>
      </c>
      <c r="G1318" s="13">
        <v>91726.03</v>
      </c>
      <c r="I1318" t="s">
        <v>160</v>
      </c>
      <c r="J1318" t="s">
        <v>583</v>
      </c>
      <c r="K1318" t="s">
        <v>170</v>
      </c>
      <c r="L1318">
        <v>5500000505</v>
      </c>
      <c r="M1318" t="s">
        <v>728</v>
      </c>
    </row>
    <row r="1319" spans="3:13">
      <c r="C1319">
        <v>2100300025</v>
      </c>
      <c r="D1319">
        <v>6211310</v>
      </c>
      <c r="E1319" t="s">
        <v>488</v>
      </c>
      <c r="F1319">
        <v>5105010125</v>
      </c>
      <c r="G1319" s="13">
        <v>474767.12</v>
      </c>
      <c r="I1319" t="s">
        <v>160</v>
      </c>
      <c r="J1319" t="s">
        <v>583</v>
      </c>
      <c r="K1319" t="s">
        <v>170</v>
      </c>
      <c r="L1319">
        <v>5500000505</v>
      </c>
      <c r="M1319" t="s">
        <v>728</v>
      </c>
    </row>
    <row r="1320" spans="3:13">
      <c r="C1320">
        <v>2100300025</v>
      </c>
      <c r="D1320">
        <v>6211310</v>
      </c>
      <c r="E1320" t="s">
        <v>488</v>
      </c>
      <c r="F1320">
        <v>5105010125</v>
      </c>
      <c r="G1320" s="13">
        <v>1625579.18</v>
      </c>
      <c r="I1320" t="s">
        <v>160</v>
      </c>
      <c r="J1320" t="s">
        <v>585</v>
      </c>
      <c r="K1320" t="s">
        <v>170</v>
      </c>
      <c r="L1320">
        <v>5500000582</v>
      </c>
      <c r="M1320" t="s">
        <v>729</v>
      </c>
    </row>
    <row r="1321" spans="3:13">
      <c r="C1321">
        <v>2100300025</v>
      </c>
      <c r="D1321">
        <v>6211310</v>
      </c>
      <c r="E1321" t="s">
        <v>488</v>
      </c>
      <c r="F1321">
        <v>5105010125</v>
      </c>
      <c r="G1321" s="13">
        <v>88767.12</v>
      </c>
      <c r="I1321" t="s">
        <v>160</v>
      </c>
      <c r="J1321" t="s">
        <v>585</v>
      </c>
      <c r="K1321" t="s">
        <v>170</v>
      </c>
      <c r="L1321">
        <v>5500000582</v>
      </c>
      <c r="M1321" t="s">
        <v>729</v>
      </c>
    </row>
    <row r="1322" spans="3:13">
      <c r="C1322">
        <v>2100300025</v>
      </c>
      <c r="D1322">
        <v>6211310</v>
      </c>
      <c r="E1322" t="s">
        <v>488</v>
      </c>
      <c r="F1322">
        <v>5105010125</v>
      </c>
      <c r="G1322" s="13">
        <v>459452.06</v>
      </c>
      <c r="I1322" t="s">
        <v>160</v>
      </c>
      <c r="J1322" t="s">
        <v>585</v>
      </c>
      <c r="K1322" t="s">
        <v>170</v>
      </c>
      <c r="L1322">
        <v>5500000582</v>
      </c>
      <c r="M1322" t="s">
        <v>729</v>
      </c>
    </row>
    <row r="1323" spans="3:13">
      <c r="C1323">
        <v>2100300025</v>
      </c>
      <c r="D1323">
        <v>6211310</v>
      </c>
      <c r="E1323" t="s">
        <v>488</v>
      </c>
      <c r="F1323">
        <v>5105010125</v>
      </c>
      <c r="G1323" s="13">
        <v>1679765.15</v>
      </c>
      <c r="I1323" t="s">
        <v>160</v>
      </c>
      <c r="J1323" t="s">
        <v>587</v>
      </c>
      <c r="K1323" t="s">
        <v>170</v>
      </c>
      <c r="L1323">
        <v>5500000659</v>
      </c>
      <c r="M1323" t="s">
        <v>730</v>
      </c>
    </row>
    <row r="1324" spans="3:13">
      <c r="C1324">
        <v>2100300025</v>
      </c>
      <c r="D1324">
        <v>6211310</v>
      </c>
      <c r="E1324" t="s">
        <v>488</v>
      </c>
      <c r="F1324">
        <v>5105010125</v>
      </c>
      <c r="G1324" s="13">
        <v>91726.03</v>
      </c>
      <c r="I1324" t="s">
        <v>160</v>
      </c>
      <c r="J1324" t="s">
        <v>587</v>
      </c>
      <c r="K1324" t="s">
        <v>170</v>
      </c>
      <c r="L1324">
        <v>5500000659</v>
      </c>
      <c r="M1324" t="s">
        <v>730</v>
      </c>
    </row>
    <row r="1325" spans="3:13">
      <c r="C1325">
        <v>2100300025</v>
      </c>
      <c r="D1325">
        <v>6211310</v>
      </c>
      <c r="E1325" t="s">
        <v>488</v>
      </c>
      <c r="F1325">
        <v>5105010125</v>
      </c>
      <c r="G1325" s="13">
        <v>474767.12</v>
      </c>
      <c r="I1325" t="s">
        <v>160</v>
      </c>
      <c r="J1325" t="s">
        <v>587</v>
      </c>
      <c r="K1325" t="s">
        <v>170</v>
      </c>
      <c r="L1325">
        <v>5500000659</v>
      </c>
      <c r="M1325" t="s">
        <v>730</v>
      </c>
    </row>
    <row r="1326" spans="3:13">
      <c r="C1326">
        <v>2100300025</v>
      </c>
      <c r="D1326">
        <v>6211310</v>
      </c>
      <c r="E1326" t="s">
        <v>488</v>
      </c>
      <c r="F1326">
        <v>5105010125</v>
      </c>
      <c r="G1326" s="13">
        <v>474767.13</v>
      </c>
      <c r="I1326" t="s">
        <v>160</v>
      </c>
      <c r="J1326" t="s">
        <v>589</v>
      </c>
      <c r="K1326" t="s">
        <v>170</v>
      </c>
      <c r="L1326">
        <v>5500000737</v>
      </c>
      <c r="M1326" t="s">
        <v>721</v>
      </c>
    </row>
    <row r="1327" spans="3:13">
      <c r="C1327">
        <v>2100300025</v>
      </c>
      <c r="D1327">
        <v>6211310</v>
      </c>
      <c r="E1327" t="s">
        <v>488</v>
      </c>
      <c r="F1327">
        <v>5105010125</v>
      </c>
      <c r="G1327" s="13">
        <v>91726.03</v>
      </c>
      <c r="I1327" t="s">
        <v>160</v>
      </c>
      <c r="J1327" t="s">
        <v>589</v>
      </c>
      <c r="K1327" t="s">
        <v>170</v>
      </c>
      <c r="L1327">
        <v>5500000737</v>
      </c>
      <c r="M1327" t="s">
        <v>721</v>
      </c>
    </row>
    <row r="1328" spans="3:13">
      <c r="C1328">
        <v>2100300025</v>
      </c>
      <c r="D1328">
        <v>6211310</v>
      </c>
      <c r="E1328" t="s">
        <v>488</v>
      </c>
      <c r="F1328">
        <v>5105010125</v>
      </c>
      <c r="G1328" s="13">
        <v>1679765.15</v>
      </c>
      <c r="I1328" t="s">
        <v>160</v>
      </c>
      <c r="J1328" t="s">
        <v>589</v>
      </c>
      <c r="K1328" t="s">
        <v>170</v>
      </c>
      <c r="L1328">
        <v>5500000737</v>
      </c>
      <c r="M1328" t="s">
        <v>721</v>
      </c>
    </row>
    <row r="1329" spans="3:13">
      <c r="C1329">
        <v>2100300025</v>
      </c>
      <c r="D1329">
        <v>6211310</v>
      </c>
      <c r="E1329" t="s">
        <v>488</v>
      </c>
      <c r="F1329">
        <v>5105010125</v>
      </c>
      <c r="G1329" s="13">
        <v>459452.05</v>
      </c>
      <c r="I1329" t="s">
        <v>160</v>
      </c>
      <c r="J1329" t="s">
        <v>591</v>
      </c>
      <c r="K1329" t="s">
        <v>170</v>
      </c>
      <c r="L1329">
        <v>5500000813</v>
      </c>
      <c r="M1329" t="s">
        <v>732</v>
      </c>
    </row>
    <row r="1330" spans="3:13">
      <c r="C1330">
        <v>2100300025</v>
      </c>
      <c r="D1330">
        <v>6326000</v>
      </c>
      <c r="E1330" t="s">
        <v>188</v>
      </c>
      <c r="F1330">
        <v>5105010125</v>
      </c>
      <c r="G1330" s="13">
        <v>536581.49</v>
      </c>
      <c r="I1330" t="s">
        <v>160</v>
      </c>
      <c r="J1330" t="s">
        <v>571</v>
      </c>
      <c r="K1330" t="s">
        <v>170</v>
      </c>
      <c r="L1330">
        <v>5500000056</v>
      </c>
      <c r="M1330" t="s">
        <v>712</v>
      </c>
    </row>
    <row r="1331" spans="3:13">
      <c r="C1331">
        <v>2100300025</v>
      </c>
      <c r="D1331">
        <v>6326000</v>
      </c>
      <c r="E1331" t="s">
        <v>188</v>
      </c>
      <c r="F1331">
        <v>5105010125</v>
      </c>
      <c r="G1331" s="13">
        <v>272689.01</v>
      </c>
      <c r="I1331" t="s">
        <v>160</v>
      </c>
      <c r="J1331" t="s">
        <v>573</v>
      </c>
      <c r="K1331" t="s">
        <v>170</v>
      </c>
      <c r="L1331">
        <v>5500000130</v>
      </c>
      <c r="M1331" t="s">
        <v>733</v>
      </c>
    </row>
    <row r="1332" spans="3:13">
      <c r="C1332">
        <v>2100300025</v>
      </c>
      <c r="D1332">
        <v>6326000</v>
      </c>
      <c r="E1332" t="s">
        <v>188</v>
      </c>
      <c r="F1332">
        <v>5105010125</v>
      </c>
      <c r="G1332" s="13">
        <v>272688.92</v>
      </c>
      <c r="I1332" t="s">
        <v>160</v>
      </c>
      <c r="J1332" t="s">
        <v>575</v>
      </c>
      <c r="K1332" t="s">
        <v>170</v>
      </c>
      <c r="L1332">
        <v>5500000203</v>
      </c>
      <c r="M1332" t="s">
        <v>714</v>
      </c>
    </row>
    <row r="1333" spans="3:13">
      <c r="C1333">
        <v>2100300025</v>
      </c>
      <c r="D1333">
        <v>6326000</v>
      </c>
      <c r="E1333" t="s">
        <v>188</v>
      </c>
      <c r="F1333">
        <v>5105010125</v>
      </c>
      <c r="G1333" s="13">
        <v>246299.76</v>
      </c>
      <c r="I1333" t="s">
        <v>160</v>
      </c>
      <c r="J1333" t="s">
        <v>577</v>
      </c>
      <c r="K1333" t="s">
        <v>170</v>
      </c>
      <c r="L1333">
        <v>5500000279</v>
      </c>
      <c r="M1333" t="s">
        <v>734</v>
      </c>
    </row>
    <row r="1334" spans="3:13">
      <c r="C1334">
        <v>2100300025</v>
      </c>
      <c r="D1334">
        <v>6326000</v>
      </c>
      <c r="E1334" t="s">
        <v>188</v>
      </c>
      <c r="F1334">
        <v>5105010125</v>
      </c>
      <c r="G1334" s="13">
        <v>272688.94</v>
      </c>
      <c r="I1334" t="s">
        <v>160</v>
      </c>
      <c r="J1334" t="s">
        <v>579</v>
      </c>
      <c r="K1334" t="s">
        <v>170</v>
      </c>
      <c r="L1334">
        <v>5500000354</v>
      </c>
      <c r="M1334" t="s">
        <v>716</v>
      </c>
    </row>
    <row r="1335" spans="3:13">
      <c r="C1335">
        <v>2100300025</v>
      </c>
      <c r="D1335">
        <v>6326000</v>
      </c>
      <c r="E1335" t="s">
        <v>188</v>
      </c>
      <c r="F1335">
        <v>5105010125</v>
      </c>
      <c r="G1335" s="13">
        <v>263892.56</v>
      </c>
      <c r="I1335" t="s">
        <v>160</v>
      </c>
      <c r="J1335" t="s">
        <v>581</v>
      </c>
      <c r="K1335" t="s">
        <v>170</v>
      </c>
      <c r="L1335">
        <v>5500000429</v>
      </c>
      <c r="M1335" t="s">
        <v>717</v>
      </c>
    </row>
    <row r="1336" spans="3:13">
      <c r="C1336">
        <v>2100300025</v>
      </c>
      <c r="D1336">
        <v>6326000</v>
      </c>
      <c r="E1336" t="s">
        <v>188</v>
      </c>
      <c r="F1336">
        <v>5105010125</v>
      </c>
      <c r="G1336" s="13">
        <v>272688.99</v>
      </c>
      <c r="I1336" t="s">
        <v>160</v>
      </c>
      <c r="J1336" t="s">
        <v>583</v>
      </c>
      <c r="K1336" t="s">
        <v>170</v>
      </c>
      <c r="L1336">
        <v>5500000506</v>
      </c>
      <c r="M1336" t="s">
        <v>718</v>
      </c>
    </row>
    <row r="1337" spans="3:13">
      <c r="C1337">
        <v>2100300025</v>
      </c>
      <c r="D1337">
        <v>6326000</v>
      </c>
      <c r="E1337" t="s">
        <v>188</v>
      </c>
      <c r="F1337">
        <v>5105010125</v>
      </c>
      <c r="G1337" s="13">
        <v>263892.53000000003</v>
      </c>
      <c r="I1337" t="s">
        <v>160</v>
      </c>
      <c r="J1337" t="s">
        <v>585</v>
      </c>
      <c r="K1337" t="s">
        <v>170</v>
      </c>
      <c r="L1337">
        <v>5500000583</v>
      </c>
      <c r="M1337" t="s">
        <v>719</v>
      </c>
    </row>
    <row r="1338" spans="3:13">
      <c r="C1338">
        <v>2100300025</v>
      </c>
      <c r="D1338">
        <v>6326000</v>
      </c>
      <c r="E1338" t="s">
        <v>188</v>
      </c>
      <c r="F1338">
        <v>5105010125</v>
      </c>
      <c r="G1338" s="13">
        <v>272689.01</v>
      </c>
      <c r="I1338" t="s">
        <v>160</v>
      </c>
      <c r="J1338" t="s">
        <v>587</v>
      </c>
      <c r="K1338" t="s">
        <v>170</v>
      </c>
      <c r="L1338">
        <v>5500000660</v>
      </c>
      <c r="M1338" t="s">
        <v>720</v>
      </c>
    </row>
    <row r="1339" spans="3:13">
      <c r="C1339">
        <v>2100300025</v>
      </c>
      <c r="D1339">
        <v>6326000</v>
      </c>
      <c r="E1339" t="s">
        <v>188</v>
      </c>
      <c r="F1339">
        <v>5105010125</v>
      </c>
      <c r="G1339" s="13">
        <v>272688.92</v>
      </c>
      <c r="I1339" t="s">
        <v>160</v>
      </c>
      <c r="J1339" t="s">
        <v>589</v>
      </c>
      <c r="K1339" t="s">
        <v>170</v>
      </c>
      <c r="L1339">
        <v>5500000737</v>
      </c>
      <c r="M1339" t="s">
        <v>721</v>
      </c>
    </row>
    <row r="1340" spans="3:13">
      <c r="C1340">
        <v>2100300025</v>
      </c>
      <c r="D1340">
        <v>6311310</v>
      </c>
      <c r="E1340" t="s">
        <v>523</v>
      </c>
      <c r="F1340">
        <v>5105010125</v>
      </c>
      <c r="G1340" s="13">
        <v>47946.27</v>
      </c>
      <c r="I1340" t="s">
        <v>160</v>
      </c>
      <c r="J1340" t="s">
        <v>571</v>
      </c>
      <c r="K1340" t="s">
        <v>170</v>
      </c>
      <c r="L1340">
        <v>5500000056</v>
      </c>
      <c r="M1340" t="s">
        <v>712</v>
      </c>
    </row>
    <row r="1341" spans="3:13">
      <c r="C1341">
        <v>2100300025</v>
      </c>
      <c r="D1341">
        <v>6311310</v>
      </c>
      <c r="E1341" t="s">
        <v>523</v>
      </c>
      <c r="F1341">
        <v>5105010125</v>
      </c>
      <c r="G1341" s="13">
        <v>99637.28</v>
      </c>
      <c r="I1341" t="s">
        <v>160</v>
      </c>
      <c r="J1341" t="s">
        <v>571</v>
      </c>
      <c r="K1341" t="s">
        <v>170</v>
      </c>
      <c r="L1341">
        <v>5500000056</v>
      </c>
      <c r="M1341" t="s">
        <v>712</v>
      </c>
    </row>
    <row r="1342" spans="3:13">
      <c r="C1342">
        <v>2100300025</v>
      </c>
      <c r="D1342">
        <v>6311310</v>
      </c>
      <c r="E1342" t="s">
        <v>523</v>
      </c>
      <c r="F1342">
        <v>5105010125</v>
      </c>
      <c r="G1342" s="13">
        <v>160485.14000000001</v>
      </c>
      <c r="I1342" t="s">
        <v>160</v>
      </c>
      <c r="J1342" t="s">
        <v>571</v>
      </c>
      <c r="K1342" t="s">
        <v>170</v>
      </c>
      <c r="L1342">
        <v>5500000056</v>
      </c>
      <c r="M1342" t="s">
        <v>712</v>
      </c>
    </row>
    <row r="1343" spans="3:13">
      <c r="C1343">
        <v>2100300025</v>
      </c>
      <c r="D1343">
        <v>6311310</v>
      </c>
      <c r="E1343" t="s">
        <v>523</v>
      </c>
      <c r="F1343">
        <v>5105010125</v>
      </c>
      <c r="G1343" s="13">
        <v>81558.03</v>
      </c>
      <c r="I1343" t="s">
        <v>160</v>
      </c>
      <c r="J1343" t="s">
        <v>573</v>
      </c>
      <c r="K1343" t="s">
        <v>170</v>
      </c>
      <c r="L1343">
        <v>5500000129</v>
      </c>
      <c r="M1343" t="s">
        <v>713</v>
      </c>
    </row>
    <row r="1344" spans="3:13">
      <c r="C1344">
        <v>2100300025</v>
      </c>
      <c r="D1344">
        <v>6311310</v>
      </c>
      <c r="E1344" t="s">
        <v>523</v>
      </c>
      <c r="F1344">
        <v>5105010125</v>
      </c>
      <c r="G1344" s="13">
        <v>50635.360000000001</v>
      </c>
      <c r="I1344" t="s">
        <v>160</v>
      </c>
      <c r="J1344" t="s">
        <v>573</v>
      </c>
      <c r="K1344" t="s">
        <v>170</v>
      </c>
      <c r="L1344">
        <v>5500000129</v>
      </c>
      <c r="M1344" t="s">
        <v>713</v>
      </c>
    </row>
    <row r="1345" spans="3:13">
      <c r="C1345">
        <v>2100300025</v>
      </c>
      <c r="D1345">
        <v>6311310</v>
      </c>
      <c r="E1345" t="s">
        <v>523</v>
      </c>
      <c r="F1345">
        <v>5105010125</v>
      </c>
      <c r="G1345" s="13">
        <v>24366.13</v>
      </c>
      <c r="I1345" t="s">
        <v>160</v>
      </c>
      <c r="J1345" t="s">
        <v>573</v>
      </c>
      <c r="K1345" t="s">
        <v>170</v>
      </c>
      <c r="L1345">
        <v>5500000129</v>
      </c>
      <c r="M1345" t="s">
        <v>713</v>
      </c>
    </row>
    <row r="1346" spans="3:13">
      <c r="C1346">
        <v>2100300025</v>
      </c>
      <c r="D1346">
        <v>6311310</v>
      </c>
      <c r="E1346" t="s">
        <v>523</v>
      </c>
      <c r="F1346">
        <v>5105010125</v>
      </c>
      <c r="G1346" s="13">
        <v>24366.14</v>
      </c>
      <c r="I1346" t="s">
        <v>160</v>
      </c>
      <c r="J1346" t="s">
        <v>575</v>
      </c>
      <c r="K1346" t="s">
        <v>170</v>
      </c>
      <c r="L1346">
        <v>5500000202</v>
      </c>
      <c r="M1346" t="s">
        <v>724</v>
      </c>
    </row>
    <row r="1347" spans="3:13">
      <c r="C1347">
        <v>2100300025</v>
      </c>
      <c r="D1347">
        <v>6311310</v>
      </c>
      <c r="E1347" t="s">
        <v>523</v>
      </c>
      <c r="F1347">
        <v>5105010125</v>
      </c>
      <c r="G1347" s="13">
        <v>50635.34</v>
      </c>
      <c r="I1347" t="s">
        <v>160</v>
      </c>
      <c r="J1347" t="s">
        <v>575</v>
      </c>
      <c r="K1347" t="s">
        <v>170</v>
      </c>
      <c r="L1347">
        <v>5500000202</v>
      </c>
      <c r="M1347" t="s">
        <v>724</v>
      </c>
    </row>
    <row r="1348" spans="3:13">
      <c r="C1348">
        <v>2100300025</v>
      </c>
      <c r="D1348">
        <v>6311310</v>
      </c>
      <c r="E1348" t="s">
        <v>523</v>
      </c>
      <c r="F1348">
        <v>5105010125</v>
      </c>
      <c r="G1348" s="13">
        <v>81558.02</v>
      </c>
      <c r="I1348" t="s">
        <v>160</v>
      </c>
      <c r="J1348" t="s">
        <v>575</v>
      </c>
      <c r="K1348" t="s">
        <v>170</v>
      </c>
      <c r="L1348">
        <v>5500000202</v>
      </c>
      <c r="M1348" t="s">
        <v>724</v>
      </c>
    </row>
    <row r="1349" spans="3:13">
      <c r="C1349">
        <v>2100300025</v>
      </c>
      <c r="D1349">
        <v>6311310</v>
      </c>
      <c r="E1349" t="s">
        <v>523</v>
      </c>
      <c r="F1349">
        <v>5105010125</v>
      </c>
      <c r="G1349" s="13">
        <v>22008.12</v>
      </c>
      <c r="I1349" t="s">
        <v>160</v>
      </c>
      <c r="J1349" t="s">
        <v>577</v>
      </c>
      <c r="K1349" t="s">
        <v>170</v>
      </c>
      <c r="L1349">
        <v>5500000278</v>
      </c>
      <c r="M1349" t="s">
        <v>715</v>
      </c>
    </row>
    <row r="1350" spans="3:13">
      <c r="C1350">
        <v>2100300025</v>
      </c>
      <c r="D1350">
        <v>6311310</v>
      </c>
      <c r="E1350" t="s">
        <v>523</v>
      </c>
      <c r="F1350">
        <v>5105010125</v>
      </c>
      <c r="G1350" s="13">
        <v>45735.14</v>
      </c>
      <c r="I1350" t="s">
        <v>160</v>
      </c>
      <c r="J1350" t="s">
        <v>577</v>
      </c>
      <c r="K1350" t="s">
        <v>170</v>
      </c>
      <c r="L1350">
        <v>5500000278</v>
      </c>
      <c r="M1350" t="s">
        <v>715</v>
      </c>
    </row>
    <row r="1351" spans="3:13">
      <c r="C1351">
        <v>2100300025</v>
      </c>
      <c r="D1351">
        <v>6311310</v>
      </c>
      <c r="E1351" t="s">
        <v>523</v>
      </c>
      <c r="F1351">
        <v>5105010125</v>
      </c>
      <c r="G1351" s="13">
        <v>73665.31</v>
      </c>
      <c r="I1351" t="s">
        <v>160</v>
      </c>
      <c r="J1351" t="s">
        <v>577</v>
      </c>
      <c r="K1351" t="s">
        <v>170</v>
      </c>
      <c r="L1351">
        <v>5500000278</v>
      </c>
      <c r="M1351" t="s">
        <v>715</v>
      </c>
    </row>
    <row r="1352" spans="3:13">
      <c r="C1352">
        <v>2100300025</v>
      </c>
      <c r="D1352">
        <v>6311310</v>
      </c>
      <c r="E1352" t="s">
        <v>523</v>
      </c>
      <c r="F1352">
        <v>5105010125</v>
      </c>
      <c r="G1352" s="13">
        <v>24366.14</v>
      </c>
      <c r="I1352" t="s">
        <v>160</v>
      </c>
      <c r="J1352" t="s">
        <v>579</v>
      </c>
      <c r="K1352" t="s">
        <v>170</v>
      </c>
      <c r="L1352">
        <v>5500000354</v>
      </c>
      <c r="M1352" t="s">
        <v>716</v>
      </c>
    </row>
    <row r="1353" spans="3:13">
      <c r="C1353">
        <v>2100300025</v>
      </c>
      <c r="D1353">
        <v>6311310</v>
      </c>
      <c r="E1353" t="s">
        <v>523</v>
      </c>
      <c r="F1353">
        <v>5105010125</v>
      </c>
      <c r="G1353" s="13">
        <v>50635.360000000001</v>
      </c>
      <c r="I1353" t="s">
        <v>160</v>
      </c>
      <c r="J1353" t="s">
        <v>579</v>
      </c>
      <c r="K1353" t="s">
        <v>170</v>
      </c>
      <c r="L1353">
        <v>5500000354</v>
      </c>
      <c r="M1353" t="s">
        <v>716</v>
      </c>
    </row>
    <row r="1354" spans="3:13">
      <c r="C1354">
        <v>2100300025</v>
      </c>
      <c r="D1354">
        <v>6311310</v>
      </c>
      <c r="E1354" t="s">
        <v>523</v>
      </c>
      <c r="F1354">
        <v>5105010125</v>
      </c>
      <c r="G1354" s="13">
        <v>81558.02</v>
      </c>
      <c r="I1354" t="s">
        <v>160</v>
      </c>
      <c r="J1354" t="s">
        <v>579</v>
      </c>
      <c r="K1354" t="s">
        <v>170</v>
      </c>
      <c r="L1354">
        <v>5500000354</v>
      </c>
      <c r="M1354" t="s">
        <v>716</v>
      </c>
    </row>
    <row r="1355" spans="3:13">
      <c r="C1355">
        <v>2100300025</v>
      </c>
      <c r="D1355">
        <v>6311310</v>
      </c>
      <c r="E1355" t="s">
        <v>523</v>
      </c>
      <c r="F1355">
        <v>5105010125</v>
      </c>
      <c r="G1355" s="13">
        <v>23580.13</v>
      </c>
      <c r="I1355" t="s">
        <v>160</v>
      </c>
      <c r="J1355" t="s">
        <v>581</v>
      </c>
      <c r="K1355" t="s">
        <v>170</v>
      </c>
      <c r="L1355">
        <v>5500000429</v>
      </c>
      <c r="M1355" t="s">
        <v>717</v>
      </c>
    </row>
    <row r="1356" spans="3:13">
      <c r="C1356">
        <v>2100300025</v>
      </c>
      <c r="D1356">
        <v>6311310</v>
      </c>
      <c r="E1356" t="s">
        <v>523</v>
      </c>
      <c r="F1356">
        <v>5105010125</v>
      </c>
      <c r="G1356" s="13">
        <v>49001.94</v>
      </c>
      <c r="I1356" t="s">
        <v>160</v>
      </c>
      <c r="J1356" t="s">
        <v>581</v>
      </c>
      <c r="K1356" t="s">
        <v>170</v>
      </c>
      <c r="L1356">
        <v>5500000429</v>
      </c>
      <c r="M1356" t="s">
        <v>717</v>
      </c>
    </row>
    <row r="1357" spans="3:13">
      <c r="C1357">
        <v>2100300025</v>
      </c>
      <c r="D1357">
        <v>6311310</v>
      </c>
      <c r="E1357" t="s">
        <v>523</v>
      </c>
      <c r="F1357">
        <v>5105010125</v>
      </c>
      <c r="G1357" s="13">
        <v>78927.12</v>
      </c>
      <c r="I1357" t="s">
        <v>160</v>
      </c>
      <c r="J1357" t="s">
        <v>581</v>
      </c>
      <c r="K1357" t="s">
        <v>170</v>
      </c>
      <c r="L1357">
        <v>5500000429</v>
      </c>
      <c r="M1357" t="s">
        <v>717</v>
      </c>
    </row>
    <row r="1358" spans="3:13">
      <c r="C1358">
        <v>2100300025</v>
      </c>
      <c r="D1358">
        <v>6311310</v>
      </c>
      <c r="E1358" t="s">
        <v>523</v>
      </c>
      <c r="F1358">
        <v>5105010125</v>
      </c>
      <c r="G1358" s="13">
        <v>24366.14</v>
      </c>
      <c r="I1358" t="s">
        <v>160</v>
      </c>
      <c r="J1358" t="s">
        <v>583</v>
      </c>
      <c r="K1358" t="s">
        <v>170</v>
      </c>
      <c r="L1358">
        <v>5500000506</v>
      </c>
      <c r="M1358" t="s">
        <v>718</v>
      </c>
    </row>
    <row r="1359" spans="3:13">
      <c r="C1359">
        <v>2100300025</v>
      </c>
      <c r="D1359">
        <v>6311310</v>
      </c>
      <c r="E1359" t="s">
        <v>523</v>
      </c>
      <c r="F1359">
        <v>5105010125</v>
      </c>
      <c r="G1359" s="13">
        <v>50635.34</v>
      </c>
      <c r="I1359" t="s">
        <v>160</v>
      </c>
      <c r="J1359" t="s">
        <v>583</v>
      </c>
      <c r="K1359" t="s">
        <v>170</v>
      </c>
      <c r="L1359">
        <v>5500000506</v>
      </c>
      <c r="M1359" t="s">
        <v>718</v>
      </c>
    </row>
    <row r="1360" spans="3:13">
      <c r="C1360">
        <v>2100300025</v>
      </c>
      <c r="D1360">
        <v>6311310</v>
      </c>
      <c r="E1360" t="s">
        <v>523</v>
      </c>
      <c r="F1360">
        <v>5105010125</v>
      </c>
      <c r="G1360" s="13">
        <v>81558.03</v>
      </c>
      <c r="I1360" t="s">
        <v>160</v>
      </c>
      <c r="J1360" t="s">
        <v>583</v>
      </c>
      <c r="K1360" t="s">
        <v>170</v>
      </c>
      <c r="L1360">
        <v>5500000506</v>
      </c>
      <c r="M1360" t="s">
        <v>718</v>
      </c>
    </row>
    <row r="1361" spans="3:13">
      <c r="C1361">
        <v>2100300025</v>
      </c>
      <c r="D1361">
        <v>6311310</v>
      </c>
      <c r="E1361" t="s">
        <v>523</v>
      </c>
      <c r="F1361">
        <v>5105010125</v>
      </c>
      <c r="G1361" s="13">
        <v>49001.94</v>
      </c>
      <c r="I1361" t="s">
        <v>160</v>
      </c>
      <c r="J1361" t="s">
        <v>585</v>
      </c>
      <c r="K1361" t="s">
        <v>170</v>
      </c>
      <c r="L1361">
        <v>5500000582</v>
      </c>
      <c r="M1361" t="s">
        <v>729</v>
      </c>
    </row>
    <row r="1362" spans="3:13">
      <c r="C1362">
        <v>2100300025</v>
      </c>
      <c r="D1362">
        <v>6311310</v>
      </c>
      <c r="E1362" t="s">
        <v>523</v>
      </c>
      <c r="F1362">
        <v>5105010125</v>
      </c>
      <c r="G1362" s="13">
        <v>78927.11</v>
      </c>
      <c r="I1362" t="s">
        <v>160</v>
      </c>
      <c r="J1362" t="s">
        <v>585</v>
      </c>
      <c r="K1362" t="s">
        <v>170</v>
      </c>
      <c r="L1362">
        <v>5500000582</v>
      </c>
      <c r="M1362" t="s">
        <v>729</v>
      </c>
    </row>
    <row r="1363" spans="3:13">
      <c r="C1363">
        <v>2100300025</v>
      </c>
      <c r="D1363">
        <v>6311310</v>
      </c>
      <c r="E1363" t="s">
        <v>523</v>
      </c>
      <c r="F1363">
        <v>5105010125</v>
      </c>
      <c r="G1363" s="13">
        <v>23580.13</v>
      </c>
      <c r="I1363" t="s">
        <v>160</v>
      </c>
      <c r="J1363" t="s">
        <v>585</v>
      </c>
      <c r="K1363" t="s">
        <v>170</v>
      </c>
      <c r="L1363">
        <v>5500000583</v>
      </c>
      <c r="M1363" t="s">
        <v>719</v>
      </c>
    </row>
    <row r="1364" spans="3:13">
      <c r="C1364">
        <v>2100300025</v>
      </c>
      <c r="D1364">
        <v>6311310</v>
      </c>
      <c r="E1364" t="s">
        <v>523</v>
      </c>
      <c r="F1364">
        <v>5105010125</v>
      </c>
      <c r="G1364" s="13">
        <v>50635.360000000001</v>
      </c>
      <c r="I1364" t="s">
        <v>160</v>
      </c>
      <c r="J1364" t="s">
        <v>587</v>
      </c>
      <c r="K1364" t="s">
        <v>170</v>
      </c>
      <c r="L1364">
        <v>5500000660</v>
      </c>
      <c r="M1364" t="s">
        <v>720</v>
      </c>
    </row>
    <row r="1365" spans="3:13">
      <c r="C1365">
        <v>2100300025</v>
      </c>
      <c r="D1365">
        <v>6311310</v>
      </c>
      <c r="E1365" t="s">
        <v>523</v>
      </c>
      <c r="F1365">
        <v>5105010125</v>
      </c>
      <c r="G1365" s="13">
        <v>81558.03</v>
      </c>
      <c r="I1365" t="s">
        <v>160</v>
      </c>
      <c r="J1365" t="s">
        <v>587</v>
      </c>
      <c r="K1365" t="s">
        <v>170</v>
      </c>
      <c r="L1365">
        <v>5500000660</v>
      </c>
      <c r="M1365" t="s">
        <v>720</v>
      </c>
    </row>
    <row r="1366" spans="3:13">
      <c r="C1366">
        <v>2100300025</v>
      </c>
      <c r="D1366">
        <v>6311310</v>
      </c>
      <c r="E1366" t="s">
        <v>523</v>
      </c>
      <c r="F1366">
        <v>5105010125</v>
      </c>
      <c r="G1366" s="13">
        <v>24366.13</v>
      </c>
      <c r="I1366" t="s">
        <v>160</v>
      </c>
      <c r="J1366" t="s">
        <v>587</v>
      </c>
      <c r="K1366" t="s">
        <v>170</v>
      </c>
      <c r="L1366">
        <v>5500000660</v>
      </c>
      <c r="M1366" t="s">
        <v>720</v>
      </c>
    </row>
    <row r="1367" spans="3:13">
      <c r="C1367">
        <v>2100300025</v>
      </c>
      <c r="D1367">
        <v>6311310</v>
      </c>
      <c r="E1367" t="s">
        <v>523</v>
      </c>
      <c r="F1367">
        <v>5105010125</v>
      </c>
      <c r="G1367" s="13">
        <v>24366.14</v>
      </c>
      <c r="I1367" t="s">
        <v>160</v>
      </c>
      <c r="J1367" t="s">
        <v>589</v>
      </c>
      <c r="K1367" t="s">
        <v>170</v>
      </c>
      <c r="L1367">
        <v>5500000737</v>
      </c>
      <c r="M1367" t="s">
        <v>721</v>
      </c>
    </row>
    <row r="1368" spans="3:13">
      <c r="C1368">
        <v>2100300025</v>
      </c>
      <c r="D1368">
        <v>6311310</v>
      </c>
      <c r="E1368" t="s">
        <v>523</v>
      </c>
      <c r="F1368">
        <v>5105010125</v>
      </c>
      <c r="G1368" s="13">
        <v>50635.34</v>
      </c>
      <c r="I1368" t="s">
        <v>160</v>
      </c>
      <c r="J1368" t="s">
        <v>589</v>
      </c>
      <c r="K1368" t="s">
        <v>170</v>
      </c>
      <c r="L1368">
        <v>5500000737</v>
      </c>
      <c r="M1368" t="s">
        <v>721</v>
      </c>
    </row>
    <row r="1369" spans="3:13">
      <c r="C1369">
        <v>2100300025</v>
      </c>
      <c r="D1369">
        <v>6311310</v>
      </c>
      <c r="E1369" t="s">
        <v>523</v>
      </c>
      <c r="F1369">
        <v>5105010125</v>
      </c>
      <c r="G1369" s="13">
        <v>81558.02</v>
      </c>
      <c r="I1369" t="s">
        <v>160</v>
      </c>
      <c r="J1369" t="s">
        <v>589</v>
      </c>
      <c r="K1369" t="s">
        <v>170</v>
      </c>
      <c r="L1369">
        <v>5500000737</v>
      </c>
      <c r="M1369" t="s">
        <v>721</v>
      </c>
    </row>
    <row r="1370" spans="3:13">
      <c r="C1370">
        <v>2100300025</v>
      </c>
      <c r="D1370">
        <v>6426000</v>
      </c>
      <c r="E1370" t="s">
        <v>188</v>
      </c>
      <c r="F1370">
        <v>5105010125</v>
      </c>
      <c r="G1370" s="13">
        <v>9747.94</v>
      </c>
      <c r="I1370" t="s">
        <v>160</v>
      </c>
      <c r="J1370" t="s">
        <v>571</v>
      </c>
      <c r="K1370" t="s">
        <v>170</v>
      </c>
      <c r="L1370">
        <v>5500000056</v>
      </c>
      <c r="M1370" t="s">
        <v>712</v>
      </c>
    </row>
    <row r="1371" spans="3:13">
      <c r="C1371">
        <v>2100300025</v>
      </c>
      <c r="D1371">
        <v>6426000</v>
      </c>
      <c r="E1371" t="s">
        <v>188</v>
      </c>
      <c r="F1371">
        <v>5105010125</v>
      </c>
      <c r="G1371" s="13">
        <v>10752.33</v>
      </c>
      <c r="I1371" t="s">
        <v>160</v>
      </c>
      <c r="J1371" t="s">
        <v>573</v>
      </c>
      <c r="K1371" t="s">
        <v>170</v>
      </c>
      <c r="L1371">
        <v>5500000130</v>
      </c>
      <c r="M1371" t="s">
        <v>733</v>
      </c>
    </row>
    <row r="1372" spans="3:13">
      <c r="C1372">
        <v>2100300025</v>
      </c>
      <c r="D1372">
        <v>6426000</v>
      </c>
      <c r="E1372" t="s">
        <v>188</v>
      </c>
      <c r="F1372">
        <v>5105010125</v>
      </c>
      <c r="G1372" s="13">
        <v>10752.33</v>
      </c>
      <c r="I1372" t="s">
        <v>160</v>
      </c>
      <c r="J1372" t="s">
        <v>575</v>
      </c>
      <c r="K1372" t="s">
        <v>170</v>
      </c>
      <c r="L1372">
        <v>5500000203</v>
      </c>
      <c r="M1372" t="s">
        <v>714</v>
      </c>
    </row>
    <row r="1373" spans="3:13">
      <c r="C1373">
        <v>2100300025</v>
      </c>
      <c r="D1373">
        <v>6426000</v>
      </c>
      <c r="E1373" t="s">
        <v>188</v>
      </c>
      <c r="F1373">
        <v>5105010125</v>
      </c>
      <c r="G1373" s="13">
        <v>30596.01</v>
      </c>
      <c r="I1373" t="s">
        <v>160</v>
      </c>
      <c r="J1373" t="s">
        <v>577</v>
      </c>
      <c r="K1373" t="s">
        <v>170</v>
      </c>
      <c r="L1373">
        <v>5500000279</v>
      </c>
      <c r="M1373" t="s">
        <v>734</v>
      </c>
    </row>
    <row r="1374" spans="3:13">
      <c r="C1374">
        <v>2100300025</v>
      </c>
      <c r="D1374">
        <v>6426000</v>
      </c>
      <c r="E1374" t="s">
        <v>188</v>
      </c>
      <c r="F1374">
        <v>5105010125</v>
      </c>
      <c r="G1374" s="13">
        <v>43877.07</v>
      </c>
      <c r="I1374" t="s">
        <v>160</v>
      </c>
      <c r="J1374" t="s">
        <v>579</v>
      </c>
      <c r="K1374" t="s">
        <v>170</v>
      </c>
      <c r="L1374">
        <v>5500000354</v>
      </c>
      <c r="M1374" t="s">
        <v>716</v>
      </c>
    </row>
    <row r="1375" spans="3:13">
      <c r="C1375">
        <v>2100300025</v>
      </c>
      <c r="D1375">
        <v>6426000</v>
      </c>
      <c r="E1375" t="s">
        <v>188</v>
      </c>
      <c r="F1375">
        <v>5105010125</v>
      </c>
      <c r="G1375" s="13">
        <v>60296.37</v>
      </c>
      <c r="I1375" t="s">
        <v>160</v>
      </c>
      <c r="J1375" t="s">
        <v>581</v>
      </c>
      <c r="K1375" t="s">
        <v>170</v>
      </c>
      <c r="L1375">
        <v>5500000429</v>
      </c>
      <c r="M1375" t="s">
        <v>717</v>
      </c>
    </row>
    <row r="1376" spans="3:13">
      <c r="C1376">
        <v>2100300025</v>
      </c>
      <c r="D1376">
        <v>6426000</v>
      </c>
      <c r="E1376" t="s">
        <v>188</v>
      </c>
      <c r="F1376">
        <v>5105010125</v>
      </c>
      <c r="G1376" s="13">
        <v>105670.89</v>
      </c>
      <c r="I1376" t="s">
        <v>160</v>
      </c>
      <c r="J1376" t="s">
        <v>583</v>
      </c>
      <c r="K1376" t="s">
        <v>170</v>
      </c>
      <c r="L1376">
        <v>5500000506</v>
      </c>
      <c r="M1376" t="s">
        <v>718</v>
      </c>
    </row>
    <row r="1377" spans="3:13">
      <c r="C1377">
        <v>2100300025</v>
      </c>
      <c r="D1377">
        <v>6426000</v>
      </c>
      <c r="E1377" t="s">
        <v>188</v>
      </c>
      <c r="F1377">
        <v>5105010125</v>
      </c>
      <c r="G1377" s="13">
        <v>142774.23000000001</v>
      </c>
      <c r="I1377" t="s">
        <v>160</v>
      </c>
      <c r="J1377" t="s">
        <v>585</v>
      </c>
      <c r="K1377" t="s">
        <v>170</v>
      </c>
      <c r="L1377">
        <v>5500000583</v>
      </c>
      <c r="M1377" t="s">
        <v>719</v>
      </c>
    </row>
    <row r="1378" spans="3:13">
      <c r="C1378">
        <v>2100300025</v>
      </c>
      <c r="D1378">
        <v>6426000</v>
      </c>
      <c r="E1378" t="s">
        <v>188</v>
      </c>
      <c r="F1378">
        <v>5105010125</v>
      </c>
      <c r="G1378" s="13">
        <v>203770.78</v>
      </c>
      <c r="I1378" t="s">
        <v>160</v>
      </c>
      <c r="J1378" t="s">
        <v>587</v>
      </c>
      <c r="K1378" t="s">
        <v>170</v>
      </c>
      <c r="L1378">
        <v>5500000660</v>
      </c>
      <c r="M1378" t="s">
        <v>720</v>
      </c>
    </row>
    <row r="1379" spans="3:13">
      <c r="C1379">
        <v>2100300025</v>
      </c>
      <c r="D1379">
        <v>6426000</v>
      </c>
      <c r="E1379" t="s">
        <v>188</v>
      </c>
      <c r="F1379">
        <v>5105010125</v>
      </c>
      <c r="G1379" s="13">
        <v>210514.41</v>
      </c>
      <c r="I1379" t="s">
        <v>160</v>
      </c>
      <c r="J1379" t="s">
        <v>589</v>
      </c>
      <c r="K1379" t="s">
        <v>170</v>
      </c>
      <c r="L1379">
        <v>5500000737</v>
      </c>
      <c r="M1379" t="s">
        <v>721</v>
      </c>
    </row>
    <row r="1380" spans="3:13">
      <c r="C1380">
        <v>2100300025</v>
      </c>
      <c r="D1380">
        <v>6426000</v>
      </c>
      <c r="E1380" t="s">
        <v>188</v>
      </c>
      <c r="F1380">
        <v>5105010125</v>
      </c>
      <c r="G1380" s="13">
        <v>221058.17</v>
      </c>
      <c r="I1380" t="s">
        <v>160</v>
      </c>
      <c r="J1380" t="s">
        <v>591</v>
      </c>
      <c r="K1380" t="s">
        <v>170</v>
      </c>
      <c r="L1380">
        <v>5500000814</v>
      </c>
      <c r="M1380" t="s">
        <v>735</v>
      </c>
    </row>
    <row r="1381" spans="3:13">
      <c r="C1381">
        <v>2100300025</v>
      </c>
      <c r="D1381">
        <v>5626000</v>
      </c>
      <c r="E1381" t="s">
        <v>188</v>
      </c>
      <c r="F1381">
        <v>5105010125</v>
      </c>
      <c r="G1381">
        <v>29.62</v>
      </c>
      <c r="I1381" t="s">
        <v>160</v>
      </c>
      <c r="J1381" t="s">
        <v>591</v>
      </c>
      <c r="K1381" t="s">
        <v>170</v>
      </c>
      <c r="L1381">
        <v>5500000814</v>
      </c>
      <c r="M1381" t="s">
        <v>735</v>
      </c>
    </row>
    <row r="1382" spans="3:13">
      <c r="C1382">
        <v>2100300025</v>
      </c>
      <c r="D1382">
        <v>5726000</v>
      </c>
      <c r="E1382" t="s">
        <v>188</v>
      </c>
      <c r="F1382">
        <v>5105010125</v>
      </c>
      <c r="G1382" s="13">
        <v>663159.19999999995</v>
      </c>
      <c r="I1382" t="s">
        <v>160</v>
      </c>
      <c r="J1382" t="s">
        <v>591</v>
      </c>
      <c r="K1382" t="s">
        <v>170</v>
      </c>
      <c r="L1382">
        <v>5500000814</v>
      </c>
      <c r="M1382" t="s">
        <v>735</v>
      </c>
    </row>
    <row r="1383" spans="3:13">
      <c r="C1383">
        <v>2100300025</v>
      </c>
      <c r="D1383">
        <v>5826000</v>
      </c>
      <c r="E1383" t="s">
        <v>188</v>
      </c>
      <c r="F1383">
        <v>5105010125</v>
      </c>
      <c r="G1383" s="13">
        <v>232549.07</v>
      </c>
      <c r="I1383" t="s">
        <v>160</v>
      </c>
      <c r="J1383" t="s">
        <v>591</v>
      </c>
      <c r="K1383" t="s">
        <v>170</v>
      </c>
      <c r="L1383">
        <v>5500000814</v>
      </c>
      <c r="M1383" t="s">
        <v>735</v>
      </c>
    </row>
    <row r="1384" spans="3:13">
      <c r="C1384">
        <v>2100300025</v>
      </c>
      <c r="D1384">
        <v>5831000</v>
      </c>
      <c r="E1384" t="s">
        <v>188</v>
      </c>
      <c r="F1384">
        <v>5105010125</v>
      </c>
      <c r="G1384" s="13">
        <v>6089.39</v>
      </c>
      <c r="I1384" t="s">
        <v>160</v>
      </c>
      <c r="J1384" t="s">
        <v>591</v>
      </c>
      <c r="K1384" t="s">
        <v>170</v>
      </c>
      <c r="L1384">
        <v>5500000814</v>
      </c>
      <c r="M1384" t="s">
        <v>735</v>
      </c>
    </row>
    <row r="1385" spans="3:13">
      <c r="C1385">
        <v>2100300025</v>
      </c>
      <c r="D1385">
        <v>5926000</v>
      </c>
      <c r="E1385" t="s">
        <v>188</v>
      </c>
      <c r="F1385">
        <v>5105010125</v>
      </c>
      <c r="G1385" s="13">
        <v>48791.19</v>
      </c>
      <c r="I1385" t="s">
        <v>160</v>
      </c>
      <c r="J1385" t="s">
        <v>591</v>
      </c>
      <c r="K1385" t="s">
        <v>170</v>
      </c>
      <c r="L1385">
        <v>5500000814</v>
      </c>
      <c r="M1385" t="s">
        <v>735</v>
      </c>
    </row>
    <row r="1386" spans="3:13">
      <c r="C1386">
        <v>2100300025</v>
      </c>
      <c r="D1386">
        <v>6031000</v>
      </c>
      <c r="E1386" t="s">
        <v>188</v>
      </c>
      <c r="F1386">
        <v>5105010125</v>
      </c>
      <c r="G1386">
        <v>575.33000000000004</v>
      </c>
      <c r="I1386" t="s">
        <v>160</v>
      </c>
      <c r="J1386" t="s">
        <v>591</v>
      </c>
      <c r="K1386" t="s">
        <v>170</v>
      </c>
      <c r="L1386">
        <v>5500000814</v>
      </c>
      <c r="M1386" t="s">
        <v>735</v>
      </c>
    </row>
    <row r="1387" spans="3:13">
      <c r="C1387">
        <v>2100300025</v>
      </c>
      <c r="D1387">
        <v>6026000</v>
      </c>
      <c r="E1387" t="s">
        <v>188</v>
      </c>
      <c r="F1387">
        <v>5105010125</v>
      </c>
      <c r="G1387" s="13">
        <v>121456.43</v>
      </c>
      <c r="I1387" t="s">
        <v>160</v>
      </c>
      <c r="J1387" t="s">
        <v>591</v>
      </c>
      <c r="K1387" t="s">
        <v>170</v>
      </c>
      <c r="L1387">
        <v>5500000814</v>
      </c>
      <c r="M1387" t="s">
        <v>735</v>
      </c>
    </row>
    <row r="1388" spans="3:13">
      <c r="C1388">
        <v>2100300025</v>
      </c>
      <c r="D1388">
        <v>6126000</v>
      </c>
      <c r="E1388" t="s">
        <v>188</v>
      </c>
      <c r="F1388">
        <v>5105010125</v>
      </c>
      <c r="G1388" s="13">
        <v>166040.06</v>
      </c>
      <c r="I1388" t="s">
        <v>160</v>
      </c>
      <c r="J1388" t="s">
        <v>591</v>
      </c>
      <c r="K1388" t="s">
        <v>170</v>
      </c>
      <c r="L1388">
        <v>5500000814</v>
      </c>
      <c r="M1388" t="s">
        <v>735</v>
      </c>
    </row>
    <row r="1389" spans="3:13">
      <c r="C1389">
        <v>2100300025</v>
      </c>
      <c r="D1389">
        <v>6131000</v>
      </c>
      <c r="E1389" t="s">
        <v>188</v>
      </c>
      <c r="F1389">
        <v>5105010125</v>
      </c>
      <c r="G1389" s="13">
        <v>1380.82</v>
      </c>
      <c r="I1389" t="s">
        <v>160</v>
      </c>
      <c r="J1389" t="s">
        <v>591</v>
      </c>
      <c r="K1389" t="s">
        <v>170</v>
      </c>
      <c r="L1389">
        <v>5500000814</v>
      </c>
      <c r="M1389" t="s">
        <v>735</v>
      </c>
    </row>
    <row r="1390" spans="3:13">
      <c r="C1390">
        <v>2100300025</v>
      </c>
      <c r="D1390">
        <v>6226000</v>
      </c>
      <c r="E1390" t="s">
        <v>188</v>
      </c>
      <c r="F1390">
        <v>5105010125</v>
      </c>
      <c r="G1390" s="13">
        <v>175807.47</v>
      </c>
      <c r="I1390" t="s">
        <v>160</v>
      </c>
      <c r="J1390" t="s">
        <v>591</v>
      </c>
      <c r="K1390" t="s">
        <v>170</v>
      </c>
      <c r="L1390">
        <v>5500000814</v>
      </c>
      <c r="M1390" t="s">
        <v>735</v>
      </c>
    </row>
    <row r="1391" spans="3:13">
      <c r="C1391">
        <v>2100300025</v>
      </c>
      <c r="D1391">
        <v>6211310</v>
      </c>
      <c r="E1391" t="s">
        <v>488</v>
      </c>
      <c r="F1391">
        <v>5105010125</v>
      </c>
      <c r="G1391" s="13">
        <v>1625579.18</v>
      </c>
      <c r="I1391" t="s">
        <v>160</v>
      </c>
      <c r="J1391" t="s">
        <v>591</v>
      </c>
      <c r="K1391" t="s">
        <v>170</v>
      </c>
      <c r="L1391">
        <v>5500000814</v>
      </c>
      <c r="M1391" t="s">
        <v>735</v>
      </c>
    </row>
    <row r="1392" spans="3:13">
      <c r="C1392">
        <v>2100300025</v>
      </c>
      <c r="D1392">
        <v>6211310</v>
      </c>
      <c r="E1392" t="s">
        <v>488</v>
      </c>
      <c r="F1392">
        <v>5105010125</v>
      </c>
      <c r="G1392" s="13">
        <v>88767.12</v>
      </c>
      <c r="I1392" t="s">
        <v>160</v>
      </c>
      <c r="J1392" t="s">
        <v>591</v>
      </c>
      <c r="K1392" t="s">
        <v>170</v>
      </c>
      <c r="L1392">
        <v>5500000814</v>
      </c>
      <c r="M1392" t="s">
        <v>735</v>
      </c>
    </row>
    <row r="1393" spans="3:13">
      <c r="C1393">
        <v>2100300025</v>
      </c>
      <c r="D1393">
        <v>6326000</v>
      </c>
      <c r="E1393" t="s">
        <v>188</v>
      </c>
      <c r="F1393">
        <v>5105010125</v>
      </c>
      <c r="G1393" s="13">
        <v>263892.57</v>
      </c>
      <c r="I1393" t="s">
        <v>160</v>
      </c>
      <c r="J1393" t="s">
        <v>591</v>
      </c>
      <c r="K1393" t="s">
        <v>170</v>
      </c>
      <c r="L1393">
        <v>5500000814</v>
      </c>
      <c r="M1393" t="s">
        <v>735</v>
      </c>
    </row>
    <row r="1394" spans="3:13">
      <c r="C1394">
        <v>2100300025</v>
      </c>
      <c r="D1394">
        <v>6311310</v>
      </c>
      <c r="E1394" t="s">
        <v>523</v>
      </c>
      <c r="F1394">
        <v>5105010125</v>
      </c>
      <c r="G1394" s="13">
        <v>78927.12</v>
      </c>
      <c r="I1394" t="s">
        <v>160</v>
      </c>
      <c r="J1394" t="s">
        <v>591</v>
      </c>
      <c r="K1394" t="s">
        <v>170</v>
      </c>
      <c r="L1394">
        <v>5500000814</v>
      </c>
      <c r="M1394" t="s">
        <v>735</v>
      </c>
    </row>
    <row r="1395" spans="3:13">
      <c r="C1395">
        <v>2100300025</v>
      </c>
      <c r="D1395">
        <v>6311310</v>
      </c>
      <c r="E1395" t="s">
        <v>523</v>
      </c>
      <c r="F1395">
        <v>5105010125</v>
      </c>
      <c r="G1395" s="13">
        <v>23580.13</v>
      </c>
      <c r="I1395" t="s">
        <v>160</v>
      </c>
      <c r="J1395" t="s">
        <v>591</v>
      </c>
      <c r="K1395" t="s">
        <v>170</v>
      </c>
      <c r="L1395">
        <v>5500000814</v>
      </c>
      <c r="M1395" t="s">
        <v>735</v>
      </c>
    </row>
    <row r="1396" spans="3:13">
      <c r="C1396">
        <v>2100300025</v>
      </c>
      <c r="D1396">
        <v>6311310</v>
      </c>
      <c r="E1396" t="s">
        <v>523</v>
      </c>
      <c r="F1396">
        <v>5105010125</v>
      </c>
      <c r="G1396" s="13">
        <v>49001.94</v>
      </c>
      <c r="I1396" t="s">
        <v>160</v>
      </c>
      <c r="J1396" t="s">
        <v>591</v>
      </c>
      <c r="K1396" t="s">
        <v>170</v>
      </c>
      <c r="L1396">
        <v>5500000814</v>
      </c>
      <c r="M1396" t="s">
        <v>735</v>
      </c>
    </row>
    <row r="1397" spans="3:13">
      <c r="C1397">
        <v>2100300025</v>
      </c>
      <c r="D1397">
        <v>6411310</v>
      </c>
      <c r="E1397" t="s">
        <v>736</v>
      </c>
      <c r="F1397">
        <v>5105010125</v>
      </c>
      <c r="G1397" s="13">
        <v>27232.880000000001</v>
      </c>
      <c r="I1397" t="s">
        <v>160</v>
      </c>
      <c r="J1397" t="s">
        <v>577</v>
      </c>
      <c r="K1397" t="s">
        <v>170</v>
      </c>
      <c r="L1397">
        <v>5500000278</v>
      </c>
      <c r="M1397" t="s">
        <v>715</v>
      </c>
    </row>
    <row r="1398" spans="3:13">
      <c r="C1398">
        <v>2100300025</v>
      </c>
      <c r="D1398">
        <v>6411310</v>
      </c>
      <c r="E1398" t="s">
        <v>736</v>
      </c>
      <c r="F1398">
        <v>5105010125</v>
      </c>
      <c r="G1398" s="13">
        <v>84421.91</v>
      </c>
      <c r="I1398" t="s">
        <v>160</v>
      </c>
      <c r="J1398" t="s">
        <v>579</v>
      </c>
      <c r="K1398" t="s">
        <v>170</v>
      </c>
      <c r="L1398">
        <v>5500000354</v>
      </c>
      <c r="M1398" t="s">
        <v>716</v>
      </c>
    </row>
    <row r="1399" spans="3:13">
      <c r="C1399">
        <v>2100300025</v>
      </c>
      <c r="D1399">
        <v>6411310</v>
      </c>
      <c r="E1399" t="s">
        <v>736</v>
      </c>
      <c r="F1399">
        <v>5105010125</v>
      </c>
      <c r="G1399" s="13">
        <v>81698.63</v>
      </c>
      <c r="I1399" t="s">
        <v>160</v>
      </c>
      <c r="J1399" t="s">
        <v>581</v>
      </c>
      <c r="K1399" t="s">
        <v>170</v>
      </c>
      <c r="L1399">
        <v>5500000429</v>
      </c>
      <c r="M1399" t="s">
        <v>717</v>
      </c>
    </row>
    <row r="1400" spans="3:13">
      <c r="C1400">
        <v>2100300025</v>
      </c>
      <c r="D1400">
        <v>6411310</v>
      </c>
      <c r="E1400" t="s">
        <v>736</v>
      </c>
      <c r="F1400">
        <v>5105010125</v>
      </c>
      <c r="G1400" s="13">
        <v>84421.92</v>
      </c>
      <c r="I1400" t="s">
        <v>160</v>
      </c>
      <c r="J1400" t="s">
        <v>583</v>
      </c>
      <c r="K1400" t="s">
        <v>170</v>
      </c>
      <c r="L1400">
        <v>5500000506</v>
      </c>
      <c r="M1400" t="s">
        <v>718</v>
      </c>
    </row>
    <row r="1401" spans="3:13">
      <c r="C1401">
        <v>2100300025</v>
      </c>
      <c r="D1401">
        <v>6411310</v>
      </c>
      <c r="E1401" t="s">
        <v>736</v>
      </c>
      <c r="F1401">
        <v>5105010125</v>
      </c>
      <c r="G1401" s="13">
        <v>327287.67</v>
      </c>
      <c r="I1401" t="s">
        <v>160</v>
      </c>
      <c r="J1401" t="s">
        <v>585</v>
      </c>
      <c r="K1401" t="s">
        <v>170</v>
      </c>
      <c r="L1401">
        <v>5500000583</v>
      </c>
      <c r="M1401" t="s">
        <v>719</v>
      </c>
    </row>
    <row r="1402" spans="3:13">
      <c r="C1402">
        <v>2100300025</v>
      </c>
      <c r="D1402">
        <v>6411310</v>
      </c>
      <c r="E1402" t="s">
        <v>736</v>
      </c>
      <c r="F1402">
        <v>5105010125</v>
      </c>
      <c r="G1402" s="13">
        <v>81698.63</v>
      </c>
      <c r="I1402" t="s">
        <v>160</v>
      </c>
      <c r="J1402" t="s">
        <v>585</v>
      </c>
      <c r="K1402" t="s">
        <v>170</v>
      </c>
      <c r="L1402">
        <v>5500000583</v>
      </c>
      <c r="M1402" t="s">
        <v>719</v>
      </c>
    </row>
    <row r="1403" spans="3:13">
      <c r="C1403">
        <v>2100300025</v>
      </c>
      <c r="D1403">
        <v>6411310</v>
      </c>
      <c r="E1403" t="s">
        <v>736</v>
      </c>
      <c r="F1403">
        <v>5105010125</v>
      </c>
      <c r="G1403" s="13">
        <v>84421.92</v>
      </c>
      <c r="I1403" t="s">
        <v>160</v>
      </c>
      <c r="J1403" t="s">
        <v>587</v>
      </c>
      <c r="K1403" t="s">
        <v>170</v>
      </c>
      <c r="L1403">
        <v>5500000660</v>
      </c>
      <c r="M1403" t="s">
        <v>720</v>
      </c>
    </row>
    <row r="1404" spans="3:13">
      <c r="C1404">
        <v>2100300025</v>
      </c>
      <c r="D1404">
        <v>6411310</v>
      </c>
      <c r="E1404" t="s">
        <v>736</v>
      </c>
      <c r="F1404">
        <v>5105010125</v>
      </c>
      <c r="G1404" s="13">
        <v>461178.08</v>
      </c>
      <c r="I1404" t="s">
        <v>160</v>
      </c>
      <c r="J1404" t="s">
        <v>587</v>
      </c>
      <c r="K1404" t="s">
        <v>170</v>
      </c>
      <c r="L1404">
        <v>5500000660</v>
      </c>
      <c r="M1404" t="s">
        <v>720</v>
      </c>
    </row>
    <row r="1405" spans="3:13">
      <c r="C1405">
        <v>2100300025</v>
      </c>
      <c r="D1405">
        <v>6411310</v>
      </c>
      <c r="E1405" t="s">
        <v>736</v>
      </c>
      <c r="F1405">
        <v>5105010125</v>
      </c>
      <c r="G1405" s="13">
        <v>84421.92</v>
      </c>
      <c r="I1405" t="s">
        <v>160</v>
      </c>
      <c r="J1405" t="s">
        <v>589</v>
      </c>
      <c r="K1405" t="s">
        <v>170</v>
      </c>
      <c r="L1405">
        <v>5500000737</v>
      </c>
      <c r="M1405" t="s">
        <v>721</v>
      </c>
    </row>
    <row r="1406" spans="3:13">
      <c r="C1406">
        <v>2100300025</v>
      </c>
      <c r="D1406">
        <v>6411310</v>
      </c>
      <c r="E1406" t="s">
        <v>736</v>
      </c>
      <c r="F1406">
        <v>5105010125</v>
      </c>
      <c r="G1406" s="13">
        <v>461178.09</v>
      </c>
      <c r="I1406" t="s">
        <v>160</v>
      </c>
      <c r="J1406" t="s">
        <v>589</v>
      </c>
      <c r="K1406" t="s">
        <v>170</v>
      </c>
      <c r="L1406">
        <v>5500000737</v>
      </c>
      <c r="M1406" t="s">
        <v>721</v>
      </c>
    </row>
    <row r="1407" spans="3:13">
      <c r="C1407">
        <v>2100300025</v>
      </c>
      <c r="D1407">
        <v>6411310</v>
      </c>
      <c r="E1407" t="s">
        <v>736</v>
      </c>
      <c r="F1407">
        <v>5105010125</v>
      </c>
      <c r="G1407" s="13">
        <v>81698.63</v>
      </c>
      <c r="I1407" t="s">
        <v>160</v>
      </c>
      <c r="J1407" t="s">
        <v>591</v>
      </c>
      <c r="K1407" t="s">
        <v>170</v>
      </c>
      <c r="L1407">
        <v>5500000814</v>
      </c>
      <c r="M1407" t="s">
        <v>735</v>
      </c>
    </row>
    <row r="1408" spans="3:13">
      <c r="C1408">
        <v>2100300025</v>
      </c>
      <c r="D1408">
        <v>6411310</v>
      </c>
      <c r="E1408" t="s">
        <v>736</v>
      </c>
      <c r="F1408">
        <v>5105010125</v>
      </c>
      <c r="G1408" s="13">
        <v>446301.37</v>
      </c>
      <c r="I1408" t="s">
        <v>160</v>
      </c>
      <c r="J1408" t="s">
        <v>591</v>
      </c>
      <c r="K1408" t="s">
        <v>170</v>
      </c>
      <c r="L1408">
        <v>5500000814</v>
      </c>
      <c r="M1408" t="s">
        <v>735</v>
      </c>
    </row>
    <row r="1409" spans="3:13">
      <c r="C1409">
        <v>2100300025</v>
      </c>
      <c r="D1409">
        <v>6126000</v>
      </c>
      <c r="E1409" t="s">
        <v>188</v>
      </c>
      <c r="F1409">
        <v>5105010127</v>
      </c>
      <c r="G1409" s="13">
        <v>23969.58</v>
      </c>
      <c r="I1409" t="s">
        <v>160</v>
      </c>
      <c r="J1409" t="s">
        <v>571</v>
      </c>
      <c r="K1409" t="s">
        <v>171</v>
      </c>
      <c r="L1409">
        <v>5500000066</v>
      </c>
      <c r="M1409" t="s">
        <v>737</v>
      </c>
    </row>
    <row r="1410" spans="3:13">
      <c r="C1410">
        <v>2100300025</v>
      </c>
      <c r="D1410">
        <v>6126000</v>
      </c>
      <c r="E1410" t="s">
        <v>188</v>
      </c>
      <c r="F1410">
        <v>5105010127</v>
      </c>
      <c r="G1410" s="13">
        <v>11661.44</v>
      </c>
      <c r="I1410" t="s">
        <v>160</v>
      </c>
      <c r="J1410" t="s">
        <v>573</v>
      </c>
      <c r="K1410" t="s">
        <v>171</v>
      </c>
      <c r="L1410">
        <v>5500000139</v>
      </c>
      <c r="M1410" t="s">
        <v>738</v>
      </c>
    </row>
    <row r="1411" spans="3:13">
      <c r="C1411">
        <v>2100300025</v>
      </c>
      <c r="D1411">
        <v>6126000</v>
      </c>
      <c r="E1411" t="s">
        <v>188</v>
      </c>
      <c r="F1411">
        <v>5105010127</v>
      </c>
      <c r="G1411" s="13">
        <v>11358.07</v>
      </c>
      <c r="I1411" t="s">
        <v>160</v>
      </c>
      <c r="J1411" t="s">
        <v>575</v>
      </c>
      <c r="K1411" t="s">
        <v>171</v>
      </c>
      <c r="L1411">
        <v>5500000213</v>
      </c>
      <c r="M1411" t="s">
        <v>739</v>
      </c>
    </row>
    <row r="1412" spans="3:13">
      <c r="C1412">
        <v>2100300025</v>
      </c>
      <c r="D1412">
        <v>6126000</v>
      </c>
      <c r="E1412" t="s">
        <v>188</v>
      </c>
      <c r="F1412">
        <v>5105010127</v>
      </c>
      <c r="G1412" s="13">
        <v>10149.4</v>
      </c>
      <c r="I1412" t="s">
        <v>160</v>
      </c>
      <c r="J1412" t="s">
        <v>577</v>
      </c>
      <c r="K1412" t="s">
        <v>171</v>
      </c>
      <c r="L1412">
        <v>5500000289</v>
      </c>
      <c r="M1412" t="s">
        <v>740</v>
      </c>
    </row>
    <row r="1413" spans="3:13">
      <c r="C1413">
        <v>2100300025</v>
      </c>
      <c r="D1413">
        <v>6126000</v>
      </c>
      <c r="E1413" t="s">
        <v>188</v>
      </c>
      <c r="F1413">
        <v>5105010127</v>
      </c>
      <c r="G1413" s="13">
        <v>11236.78</v>
      </c>
      <c r="I1413" t="s">
        <v>160</v>
      </c>
      <c r="J1413" t="s">
        <v>579</v>
      </c>
      <c r="K1413" t="s">
        <v>171</v>
      </c>
      <c r="L1413">
        <v>5500000364</v>
      </c>
      <c r="M1413" t="s">
        <v>741</v>
      </c>
    </row>
    <row r="1414" spans="3:13">
      <c r="C1414">
        <v>2100300025</v>
      </c>
      <c r="D1414">
        <v>6126000</v>
      </c>
      <c r="E1414" t="s">
        <v>188</v>
      </c>
      <c r="F1414">
        <v>5105010127</v>
      </c>
      <c r="G1414" s="13">
        <v>10874.36</v>
      </c>
      <c r="I1414" t="s">
        <v>160</v>
      </c>
      <c r="J1414" t="s">
        <v>581</v>
      </c>
      <c r="K1414" t="s">
        <v>171</v>
      </c>
      <c r="L1414">
        <v>5500000440</v>
      </c>
      <c r="M1414" t="s">
        <v>742</v>
      </c>
    </row>
    <row r="1415" spans="3:13">
      <c r="C1415">
        <v>2100300025</v>
      </c>
      <c r="D1415">
        <v>6126000</v>
      </c>
      <c r="E1415" t="s">
        <v>188</v>
      </c>
      <c r="F1415">
        <v>5105010127</v>
      </c>
      <c r="G1415" s="13">
        <v>11236.92</v>
      </c>
      <c r="I1415" t="s">
        <v>160</v>
      </c>
      <c r="J1415" t="s">
        <v>583</v>
      </c>
      <c r="K1415" t="s">
        <v>171</v>
      </c>
      <c r="L1415">
        <v>5500000517</v>
      </c>
      <c r="M1415" t="s">
        <v>743</v>
      </c>
    </row>
    <row r="1416" spans="3:13">
      <c r="C1416">
        <v>2100300025</v>
      </c>
      <c r="D1416">
        <v>6126000</v>
      </c>
      <c r="E1416" t="s">
        <v>188</v>
      </c>
      <c r="F1416">
        <v>5105010127</v>
      </c>
      <c r="G1416" s="13">
        <v>9343.2199999999993</v>
      </c>
      <c r="I1416" t="s">
        <v>160</v>
      </c>
      <c r="J1416" t="s">
        <v>585</v>
      </c>
      <c r="K1416" t="s">
        <v>171</v>
      </c>
      <c r="L1416">
        <v>5500000594</v>
      </c>
      <c r="M1416" t="s">
        <v>744</v>
      </c>
    </row>
    <row r="1417" spans="3:13">
      <c r="C1417">
        <v>2100300025</v>
      </c>
      <c r="D1417">
        <v>6126000</v>
      </c>
      <c r="E1417" t="s">
        <v>188</v>
      </c>
      <c r="F1417">
        <v>5105010127</v>
      </c>
      <c r="G1417">
        <v>229.32</v>
      </c>
      <c r="I1417" t="s">
        <v>160</v>
      </c>
      <c r="J1417" t="s">
        <v>587</v>
      </c>
      <c r="K1417" t="s">
        <v>171</v>
      </c>
      <c r="L1417">
        <v>5500000671</v>
      </c>
      <c r="M1417" t="s">
        <v>745</v>
      </c>
    </row>
    <row r="1418" spans="3:13">
      <c r="C1418">
        <v>2100300025</v>
      </c>
      <c r="D1418">
        <v>6126000</v>
      </c>
      <c r="E1418" t="s">
        <v>188</v>
      </c>
      <c r="F1418">
        <v>5105010127</v>
      </c>
      <c r="G1418">
        <v>229.31</v>
      </c>
      <c r="I1418" t="s">
        <v>160</v>
      </c>
      <c r="J1418" t="s">
        <v>589</v>
      </c>
      <c r="K1418" t="s">
        <v>171</v>
      </c>
      <c r="L1418">
        <v>5500000748</v>
      </c>
      <c r="M1418" t="s">
        <v>746</v>
      </c>
    </row>
    <row r="1419" spans="3:13">
      <c r="C1419">
        <v>2100300025</v>
      </c>
      <c r="D1419">
        <v>6126000</v>
      </c>
      <c r="E1419" t="s">
        <v>188</v>
      </c>
      <c r="F1419">
        <v>5105010127</v>
      </c>
      <c r="G1419">
        <v>221.92</v>
      </c>
      <c r="I1419" t="s">
        <v>160</v>
      </c>
      <c r="J1419" t="s">
        <v>591</v>
      </c>
      <c r="K1419" t="s">
        <v>171</v>
      </c>
      <c r="L1419">
        <v>5500000825</v>
      </c>
      <c r="M1419" t="s">
        <v>747</v>
      </c>
    </row>
    <row r="1420" spans="3:13">
      <c r="C1420">
        <v>2100300025</v>
      </c>
      <c r="D1420">
        <v>6131000</v>
      </c>
      <c r="E1420" t="s">
        <v>188</v>
      </c>
      <c r="F1420">
        <v>5105010127</v>
      </c>
      <c r="G1420" s="13">
        <v>11999.4</v>
      </c>
      <c r="I1420" t="s">
        <v>160</v>
      </c>
      <c r="J1420" t="s">
        <v>571</v>
      </c>
      <c r="K1420" t="s">
        <v>171</v>
      </c>
      <c r="L1420">
        <v>5500000066</v>
      </c>
      <c r="M1420" t="s">
        <v>737</v>
      </c>
    </row>
    <row r="1421" spans="3:13">
      <c r="C1421">
        <v>2100300025</v>
      </c>
      <c r="D1421">
        <v>6131000</v>
      </c>
      <c r="E1421" t="s">
        <v>188</v>
      </c>
      <c r="F1421">
        <v>5105010127</v>
      </c>
      <c r="G1421" s="13">
        <v>6098.16</v>
      </c>
      <c r="I1421" t="s">
        <v>160</v>
      </c>
      <c r="J1421" t="s">
        <v>573</v>
      </c>
      <c r="K1421" t="s">
        <v>171</v>
      </c>
      <c r="L1421">
        <v>5500000139</v>
      </c>
      <c r="M1421" t="s">
        <v>738</v>
      </c>
    </row>
    <row r="1422" spans="3:13">
      <c r="C1422">
        <v>2100300025</v>
      </c>
      <c r="D1422">
        <v>6131000</v>
      </c>
      <c r="E1422" t="s">
        <v>188</v>
      </c>
      <c r="F1422">
        <v>5105010127</v>
      </c>
      <c r="G1422" s="13">
        <v>6098.04</v>
      </c>
      <c r="I1422" t="s">
        <v>160</v>
      </c>
      <c r="J1422" t="s">
        <v>575</v>
      </c>
      <c r="K1422" t="s">
        <v>171</v>
      </c>
      <c r="L1422">
        <v>5500000213</v>
      </c>
      <c r="M1422" t="s">
        <v>739</v>
      </c>
    </row>
    <row r="1423" spans="3:13">
      <c r="C1423">
        <v>2100300025</v>
      </c>
      <c r="D1423">
        <v>6131000</v>
      </c>
      <c r="E1423" t="s">
        <v>188</v>
      </c>
      <c r="F1423">
        <v>5105010127</v>
      </c>
      <c r="G1423" s="13">
        <v>5507.94</v>
      </c>
      <c r="I1423" t="s">
        <v>160</v>
      </c>
      <c r="J1423" t="s">
        <v>577</v>
      </c>
      <c r="K1423" t="s">
        <v>171</v>
      </c>
      <c r="L1423">
        <v>5500000289</v>
      </c>
      <c r="M1423" t="s">
        <v>740</v>
      </c>
    </row>
    <row r="1424" spans="3:13">
      <c r="C1424">
        <v>2100300025</v>
      </c>
      <c r="D1424">
        <v>6131000</v>
      </c>
      <c r="E1424" t="s">
        <v>188</v>
      </c>
      <c r="F1424">
        <v>5105010127</v>
      </c>
      <c r="G1424" s="13">
        <v>6098.1</v>
      </c>
      <c r="I1424" t="s">
        <v>160</v>
      </c>
      <c r="J1424" t="s">
        <v>579</v>
      </c>
      <c r="K1424" t="s">
        <v>171</v>
      </c>
      <c r="L1424">
        <v>5500000364</v>
      </c>
      <c r="M1424" t="s">
        <v>741</v>
      </c>
    </row>
    <row r="1425" spans="3:13">
      <c r="C1425">
        <v>2100300025</v>
      </c>
      <c r="D1425">
        <v>6131000</v>
      </c>
      <c r="E1425" t="s">
        <v>188</v>
      </c>
      <c r="F1425">
        <v>5105010127</v>
      </c>
      <c r="G1425" s="13">
        <v>5901.36</v>
      </c>
      <c r="I1425" t="s">
        <v>160</v>
      </c>
      <c r="J1425" t="s">
        <v>581</v>
      </c>
      <c r="K1425" t="s">
        <v>171</v>
      </c>
      <c r="L1425">
        <v>5500000440</v>
      </c>
      <c r="M1425" t="s">
        <v>742</v>
      </c>
    </row>
    <row r="1426" spans="3:13">
      <c r="C1426">
        <v>2100300025</v>
      </c>
      <c r="D1426">
        <v>6131000</v>
      </c>
      <c r="E1426" t="s">
        <v>188</v>
      </c>
      <c r="F1426">
        <v>5105010127</v>
      </c>
      <c r="G1426" s="13">
        <v>6098.04</v>
      </c>
      <c r="I1426" t="s">
        <v>160</v>
      </c>
      <c r="J1426" t="s">
        <v>583</v>
      </c>
      <c r="K1426" t="s">
        <v>171</v>
      </c>
      <c r="L1426">
        <v>5500000517</v>
      </c>
      <c r="M1426" t="s">
        <v>743</v>
      </c>
    </row>
    <row r="1427" spans="3:13">
      <c r="C1427">
        <v>2100300025</v>
      </c>
      <c r="D1427">
        <v>6131000</v>
      </c>
      <c r="E1427" t="s">
        <v>188</v>
      </c>
      <c r="F1427">
        <v>5105010127</v>
      </c>
      <c r="G1427" s="13">
        <v>5901.36</v>
      </c>
      <c r="I1427" t="s">
        <v>160</v>
      </c>
      <c r="J1427" t="s">
        <v>585</v>
      </c>
      <c r="K1427" t="s">
        <v>171</v>
      </c>
      <c r="L1427">
        <v>5500000594</v>
      </c>
      <c r="M1427" t="s">
        <v>744</v>
      </c>
    </row>
    <row r="1428" spans="3:13">
      <c r="C1428">
        <v>2100300025</v>
      </c>
      <c r="D1428">
        <v>6131000</v>
      </c>
      <c r="E1428" t="s">
        <v>188</v>
      </c>
      <c r="F1428">
        <v>5105010127</v>
      </c>
      <c r="G1428" s="13">
        <v>4703.16</v>
      </c>
      <c r="I1428" t="s">
        <v>160</v>
      </c>
      <c r="J1428" t="s">
        <v>587</v>
      </c>
      <c r="K1428" t="s">
        <v>171</v>
      </c>
      <c r="L1428">
        <v>5500000671</v>
      </c>
      <c r="M1428" t="s">
        <v>745</v>
      </c>
    </row>
    <row r="1429" spans="3:13">
      <c r="C1429">
        <v>2100300025</v>
      </c>
      <c r="D1429">
        <v>6111310</v>
      </c>
      <c r="E1429" t="s">
        <v>199</v>
      </c>
      <c r="F1429">
        <v>5105010127</v>
      </c>
      <c r="G1429" s="13">
        <v>20890.41</v>
      </c>
      <c r="I1429" t="s">
        <v>160</v>
      </c>
      <c r="J1429" t="s">
        <v>571</v>
      </c>
      <c r="K1429" t="s">
        <v>171</v>
      </c>
      <c r="L1429">
        <v>5500000066</v>
      </c>
      <c r="M1429" t="s">
        <v>737</v>
      </c>
    </row>
    <row r="1430" spans="3:13">
      <c r="C1430">
        <v>2100300025</v>
      </c>
      <c r="D1430">
        <v>6111310</v>
      </c>
      <c r="E1430" t="s">
        <v>199</v>
      </c>
      <c r="F1430">
        <v>5105010127</v>
      </c>
      <c r="G1430" s="13">
        <v>10616.44</v>
      </c>
      <c r="I1430" t="s">
        <v>160</v>
      </c>
      <c r="J1430" t="s">
        <v>573</v>
      </c>
      <c r="K1430" t="s">
        <v>171</v>
      </c>
      <c r="L1430">
        <v>5500000139</v>
      </c>
      <c r="M1430" t="s">
        <v>738</v>
      </c>
    </row>
    <row r="1431" spans="3:13">
      <c r="C1431">
        <v>2100300025</v>
      </c>
      <c r="D1431">
        <v>6111310</v>
      </c>
      <c r="E1431" t="s">
        <v>199</v>
      </c>
      <c r="F1431">
        <v>5105010127</v>
      </c>
      <c r="G1431" s="13">
        <v>10616.44</v>
      </c>
      <c r="I1431" t="s">
        <v>160</v>
      </c>
      <c r="J1431" t="s">
        <v>575</v>
      </c>
      <c r="K1431" t="s">
        <v>171</v>
      </c>
      <c r="L1431">
        <v>5500000213</v>
      </c>
      <c r="M1431" t="s">
        <v>739</v>
      </c>
    </row>
    <row r="1432" spans="3:13">
      <c r="C1432">
        <v>2100300025</v>
      </c>
      <c r="D1432">
        <v>6111310</v>
      </c>
      <c r="E1432" t="s">
        <v>199</v>
      </c>
      <c r="F1432">
        <v>5105010127</v>
      </c>
      <c r="G1432" s="13">
        <v>9589.0400000000009</v>
      </c>
      <c r="I1432" t="s">
        <v>160</v>
      </c>
      <c r="J1432" t="s">
        <v>577</v>
      </c>
      <c r="K1432" t="s">
        <v>171</v>
      </c>
      <c r="L1432">
        <v>5500000289</v>
      </c>
      <c r="M1432" t="s">
        <v>740</v>
      </c>
    </row>
    <row r="1433" spans="3:13">
      <c r="C1433">
        <v>2100300025</v>
      </c>
      <c r="D1433">
        <v>6111310</v>
      </c>
      <c r="E1433" t="s">
        <v>199</v>
      </c>
      <c r="F1433">
        <v>5105010127</v>
      </c>
      <c r="G1433" s="13">
        <v>10616.44</v>
      </c>
      <c r="I1433" t="s">
        <v>160</v>
      </c>
      <c r="J1433" t="s">
        <v>579</v>
      </c>
      <c r="K1433" t="s">
        <v>171</v>
      </c>
      <c r="L1433">
        <v>5500000364</v>
      </c>
      <c r="M1433" t="s">
        <v>741</v>
      </c>
    </row>
    <row r="1434" spans="3:13">
      <c r="C1434">
        <v>2100300025</v>
      </c>
      <c r="D1434">
        <v>6111310</v>
      </c>
      <c r="E1434" t="s">
        <v>199</v>
      </c>
      <c r="F1434">
        <v>5105010127</v>
      </c>
      <c r="G1434" s="13">
        <v>3080.19</v>
      </c>
      <c r="I1434" t="s">
        <v>160</v>
      </c>
      <c r="J1434" t="s">
        <v>581</v>
      </c>
      <c r="K1434" t="s">
        <v>171</v>
      </c>
      <c r="L1434">
        <v>5500000440</v>
      </c>
      <c r="M1434" t="s">
        <v>742</v>
      </c>
    </row>
    <row r="1435" spans="3:13">
      <c r="C1435">
        <v>2100300025</v>
      </c>
      <c r="D1435">
        <v>6226000</v>
      </c>
      <c r="E1435" t="s">
        <v>188</v>
      </c>
      <c r="F1435">
        <v>5105010127</v>
      </c>
      <c r="G1435" s="13">
        <v>148355.49</v>
      </c>
      <c r="I1435" t="s">
        <v>160</v>
      </c>
      <c r="J1435" t="s">
        <v>571</v>
      </c>
      <c r="K1435" t="s">
        <v>171</v>
      </c>
      <c r="L1435">
        <v>5500000066</v>
      </c>
      <c r="M1435" t="s">
        <v>737</v>
      </c>
    </row>
    <row r="1436" spans="3:13">
      <c r="C1436">
        <v>2100300025</v>
      </c>
      <c r="D1436">
        <v>6226000</v>
      </c>
      <c r="E1436" t="s">
        <v>188</v>
      </c>
      <c r="F1436">
        <v>5105010127</v>
      </c>
      <c r="G1436" s="13">
        <v>75393.39</v>
      </c>
      <c r="I1436" t="s">
        <v>160</v>
      </c>
      <c r="J1436" t="s">
        <v>573</v>
      </c>
      <c r="K1436" t="s">
        <v>171</v>
      </c>
      <c r="L1436">
        <v>5500000139</v>
      </c>
      <c r="M1436" t="s">
        <v>738</v>
      </c>
    </row>
    <row r="1437" spans="3:13">
      <c r="C1437">
        <v>2100300025</v>
      </c>
      <c r="D1437">
        <v>6226000</v>
      </c>
      <c r="E1437" t="s">
        <v>188</v>
      </c>
      <c r="F1437">
        <v>5105010127</v>
      </c>
      <c r="G1437" s="13">
        <v>75393.77</v>
      </c>
      <c r="I1437" t="s">
        <v>160</v>
      </c>
      <c r="J1437" t="s">
        <v>575</v>
      </c>
      <c r="K1437" t="s">
        <v>171</v>
      </c>
      <c r="L1437">
        <v>5500000213</v>
      </c>
      <c r="M1437" t="s">
        <v>739</v>
      </c>
    </row>
    <row r="1438" spans="3:13">
      <c r="C1438">
        <v>2100300025</v>
      </c>
      <c r="D1438">
        <v>6226000</v>
      </c>
      <c r="E1438" t="s">
        <v>188</v>
      </c>
      <c r="F1438">
        <v>5105010127</v>
      </c>
      <c r="G1438" s="13">
        <v>68097.539999999994</v>
      </c>
      <c r="I1438" t="s">
        <v>160</v>
      </c>
      <c r="J1438" t="s">
        <v>577</v>
      </c>
      <c r="K1438" t="s">
        <v>171</v>
      </c>
      <c r="L1438">
        <v>5500000289</v>
      </c>
      <c r="M1438" t="s">
        <v>740</v>
      </c>
    </row>
    <row r="1439" spans="3:13">
      <c r="C1439">
        <v>2100300025</v>
      </c>
      <c r="D1439">
        <v>6226000</v>
      </c>
      <c r="E1439" t="s">
        <v>188</v>
      </c>
      <c r="F1439">
        <v>5105010127</v>
      </c>
      <c r="G1439" s="13">
        <v>75393.56</v>
      </c>
      <c r="I1439" t="s">
        <v>160</v>
      </c>
      <c r="J1439" t="s">
        <v>579</v>
      </c>
      <c r="K1439" t="s">
        <v>171</v>
      </c>
      <c r="L1439">
        <v>5500000364</v>
      </c>
      <c r="M1439" t="s">
        <v>741</v>
      </c>
    </row>
    <row r="1440" spans="3:13">
      <c r="C1440">
        <v>2100300025</v>
      </c>
      <c r="D1440">
        <v>6226000</v>
      </c>
      <c r="E1440" t="s">
        <v>188</v>
      </c>
      <c r="F1440">
        <v>5105010127</v>
      </c>
      <c r="G1440" s="13">
        <v>72961.52</v>
      </c>
      <c r="I1440" t="s">
        <v>160</v>
      </c>
      <c r="J1440" t="s">
        <v>581</v>
      </c>
      <c r="K1440" t="s">
        <v>171</v>
      </c>
      <c r="L1440">
        <v>5500000440</v>
      </c>
      <c r="M1440" t="s">
        <v>742</v>
      </c>
    </row>
    <row r="1441" spans="3:13">
      <c r="C1441">
        <v>2100300025</v>
      </c>
      <c r="D1441">
        <v>6226000</v>
      </c>
      <c r="E1441" t="s">
        <v>188</v>
      </c>
      <c r="F1441">
        <v>5105010127</v>
      </c>
      <c r="G1441" s="13">
        <v>75394.02</v>
      </c>
      <c r="I1441" t="s">
        <v>160</v>
      </c>
      <c r="J1441" t="s">
        <v>583</v>
      </c>
      <c r="K1441" t="s">
        <v>171</v>
      </c>
      <c r="L1441">
        <v>5500000517</v>
      </c>
      <c r="M1441" t="s">
        <v>743</v>
      </c>
    </row>
    <row r="1442" spans="3:13">
      <c r="C1442">
        <v>2100300025</v>
      </c>
      <c r="D1442">
        <v>6226000</v>
      </c>
      <c r="E1442" t="s">
        <v>188</v>
      </c>
      <c r="F1442">
        <v>5105010127</v>
      </c>
      <c r="G1442" s="13">
        <v>72961.679999999993</v>
      </c>
      <c r="I1442" t="s">
        <v>160</v>
      </c>
      <c r="J1442" t="s">
        <v>585</v>
      </c>
      <c r="K1442" t="s">
        <v>171</v>
      </c>
      <c r="L1442">
        <v>5500000594</v>
      </c>
      <c r="M1442" t="s">
        <v>744</v>
      </c>
    </row>
    <row r="1443" spans="3:13">
      <c r="C1443">
        <v>2100300025</v>
      </c>
      <c r="D1443">
        <v>6226000</v>
      </c>
      <c r="E1443" t="s">
        <v>188</v>
      </c>
      <c r="F1443">
        <v>5105010127</v>
      </c>
      <c r="G1443" s="13">
        <v>75393.39</v>
      </c>
      <c r="I1443" t="s">
        <v>160</v>
      </c>
      <c r="J1443" t="s">
        <v>587</v>
      </c>
      <c r="K1443" t="s">
        <v>171</v>
      </c>
      <c r="L1443">
        <v>5500000671</v>
      </c>
      <c r="M1443" t="s">
        <v>745</v>
      </c>
    </row>
    <row r="1444" spans="3:13">
      <c r="C1444">
        <v>2100300025</v>
      </c>
      <c r="D1444">
        <v>6226000</v>
      </c>
      <c r="E1444" t="s">
        <v>188</v>
      </c>
      <c r="F1444">
        <v>5105010127</v>
      </c>
      <c r="G1444" s="13">
        <v>75393.98</v>
      </c>
      <c r="I1444" t="s">
        <v>160</v>
      </c>
      <c r="J1444" t="s">
        <v>589</v>
      </c>
      <c r="K1444" t="s">
        <v>171</v>
      </c>
      <c r="L1444">
        <v>5500000748</v>
      </c>
      <c r="M1444" t="s">
        <v>746</v>
      </c>
    </row>
    <row r="1445" spans="3:13">
      <c r="C1445">
        <v>2100300025</v>
      </c>
      <c r="D1445">
        <v>6226000</v>
      </c>
      <c r="E1445" t="s">
        <v>188</v>
      </c>
      <c r="F1445">
        <v>5105010127</v>
      </c>
      <c r="G1445" s="13">
        <v>72961.509999999995</v>
      </c>
      <c r="I1445" t="s">
        <v>160</v>
      </c>
      <c r="J1445" t="s">
        <v>591</v>
      </c>
      <c r="K1445" t="s">
        <v>171</v>
      </c>
      <c r="L1445">
        <v>5500000825</v>
      </c>
      <c r="M1445" t="s">
        <v>747</v>
      </c>
    </row>
    <row r="1446" spans="3:13">
      <c r="C1446">
        <v>2100300025</v>
      </c>
      <c r="D1446">
        <v>6326000</v>
      </c>
      <c r="E1446" t="s">
        <v>188</v>
      </c>
      <c r="F1446">
        <v>5105010127</v>
      </c>
      <c r="G1446" s="13">
        <v>281827.34999999998</v>
      </c>
      <c r="I1446" t="s">
        <v>160</v>
      </c>
      <c r="J1446" t="s">
        <v>571</v>
      </c>
      <c r="K1446" t="s">
        <v>171</v>
      </c>
      <c r="L1446">
        <v>5500000066</v>
      </c>
      <c r="M1446" t="s">
        <v>737</v>
      </c>
    </row>
    <row r="1447" spans="3:13">
      <c r="C1447">
        <v>2100300025</v>
      </c>
      <c r="D1447">
        <v>6326000</v>
      </c>
      <c r="E1447" t="s">
        <v>188</v>
      </c>
      <c r="F1447">
        <v>5105010127</v>
      </c>
      <c r="G1447" s="13">
        <v>143223.74</v>
      </c>
      <c r="I1447" t="s">
        <v>160</v>
      </c>
      <c r="J1447" t="s">
        <v>573</v>
      </c>
      <c r="K1447" t="s">
        <v>171</v>
      </c>
      <c r="L1447">
        <v>5500000139</v>
      </c>
      <c r="M1447" t="s">
        <v>738</v>
      </c>
    </row>
    <row r="1448" spans="3:13">
      <c r="C1448">
        <v>2100300025</v>
      </c>
      <c r="D1448">
        <v>6326000</v>
      </c>
      <c r="E1448" t="s">
        <v>188</v>
      </c>
      <c r="F1448">
        <v>5105010127</v>
      </c>
      <c r="G1448" s="13">
        <v>143223.76999999999</v>
      </c>
      <c r="I1448" t="s">
        <v>160</v>
      </c>
      <c r="J1448" t="s">
        <v>575</v>
      </c>
      <c r="K1448" t="s">
        <v>171</v>
      </c>
      <c r="L1448">
        <v>5500000213</v>
      </c>
      <c r="M1448" t="s">
        <v>739</v>
      </c>
    </row>
    <row r="1449" spans="3:13">
      <c r="C1449">
        <v>2100300025</v>
      </c>
      <c r="D1449">
        <v>6326000</v>
      </c>
      <c r="E1449" t="s">
        <v>188</v>
      </c>
      <c r="F1449">
        <v>5105010127</v>
      </c>
      <c r="G1449" s="13">
        <v>129363.37</v>
      </c>
      <c r="I1449" t="s">
        <v>160</v>
      </c>
      <c r="J1449" t="s">
        <v>577</v>
      </c>
      <c r="K1449" t="s">
        <v>171</v>
      </c>
      <c r="L1449">
        <v>5500000289</v>
      </c>
      <c r="M1449" t="s">
        <v>740</v>
      </c>
    </row>
    <row r="1450" spans="3:13">
      <c r="C1450">
        <v>2100300025</v>
      </c>
      <c r="D1450">
        <v>6326000</v>
      </c>
      <c r="E1450" t="s">
        <v>188</v>
      </c>
      <c r="F1450">
        <v>5105010127</v>
      </c>
      <c r="G1450" s="13">
        <v>143223.72</v>
      </c>
      <c r="I1450" t="s">
        <v>160</v>
      </c>
      <c r="J1450" t="s">
        <v>579</v>
      </c>
      <c r="K1450" t="s">
        <v>171</v>
      </c>
      <c r="L1450">
        <v>5500000364</v>
      </c>
      <c r="M1450" t="s">
        <v>741</v>
      </c>
    </row>
    <row r="1451" spans="3:13">
      <c r="C1451">
        <v>2100300025</v>
      </c>
      <c r="D1451">
        <v>6326000</v>
      </c>
      <c r="E1451" t="s">
        <v>188</v>
      </c>
      <c r="F1451">
        <v>5105010127</v>
      </c>
      <c r="G1451" s="13">
        <v>138603.63</v>
      </c>
      <c r="I1451" t="s">
        <v>160</v>
      </c>
      <c r="J1451" t="s">
        <v>581</v>
      </c>
      <c r="K1451" t="s">
        <v>171</v>
      </c>
      <c r="L1451">
        <v>5500000440</v>
      </c>
      <c r="M1451" t="s">
        <v>742</v>
      </c>
    </row>
    <row r="1452" spans="3:13">
      <c r="C1452">
        <v>2100300025</v>
      </c>
      <c r="D1452">
        <v>6326000</v>
      </c>
      <c r="E1452" t="s">
        <v>188</v>
      </c>
      <c r="F1452">
        <v>5105010127</v>
      </c>
      <c r="G1452" s="13">
        <v>143223.71</v>
      </c>
      <c r="I1452" t="s">
        <v>160</v>
      </c>
      <c r="J1452" t="s">
        <v>583</v>
      </c>
      <c r="K1452" t="s">
        <v>171</v>
      </c>
      <c r="L1452">
        <v>5500000517</v>
      </c>
      <c r="M1452" t="s">
        <v>743</v>
      </c>
    </row>
    <row r="1453" spans="3:13">
      <c r="C1453">
        <v>2100300025</v>
      </c>
      <c r="D1453">
        <v>6326000</v>
      </c>
      <c r="E1453" t="s">
        <v>188</v>
      </c>
      <c r="F1453">
        <v>5105010127</v>
      </c>
      <c r="G1453" s="13">
        <v>138603.64000000001</v>
      </c>
      <c r="I1453" t="s">
        <v>160</v>
      </c>
      <c r="J1453" t="s">
        <v>585</v>
      </c>
      <c r="K1453" t="s">
        <v>171</v>
      </c>
      <c r="L1453">
        <v>5500000594</v>
      </c>
      <c r="M1453" t="s">
        <v>744</v>
      </c>
    </row>
    <row r="1454" spans="3:13">
      <c r="C1454">
        <v>2100300025</v>
      </c>
      <c r="D1454">
        <v>6326000</v>
      </c>
      <c r="E1454" t="s">
        <v>188</v>
      </c>
      <c r="F1454">
        <v>5105010127</v>
      </c>
      <c r="G1454" s="13">
        <v>143223.74</v>
      </c>
      <c r="I1454" t="s">
        <v>160</v>
      </c>
      <c r="J1454" t="s">
        <v>587</v>
      </c>
      <c r="K1454" t="s">
        <v>171</v>
      </c>
      <c r="L1454">
        <v>5500000671</v>
      </c>
      <c r="M1454" t="s">
        <v>745</v>
      </c>
    </row>
    <row r="1455" spans="3:13">
      <c r="C1455">
        <v>2100300025</v>
      </c>
      <c r="D1455">
        <v>6326000</v>
      </c>
      <c r="E1455" t="s">
        <v>188</v>
      </c>
      <c r="F1455">
        <v>5105010127</v>
      </c>
      <c r="G1455" s="13">
        <v>143223.72</v>
      </c>
      <c r="I1455" t="s">
        <v>160</v>
      </c>
      <c r="J1455" t="s">
        <v>589</v>
      </c>
      <c r="K1455" t="s">
        <v>171</v>
      </c>
      <c r="L1455">
        <v>5500000748</v>
      </c>
      <c r="M1455" t="s">
        <v>746</v>
      </c>
    </row>
    <row r="1456" spans="3:13">
      <c r="C1456">
        <v>2100300025</v>
      </c>
      <c r="D1456">
        <v>6326000</v>
      </c>
      <c r="E1456" t="s">
        <v>188</v>
      </c>
      <c r="F1456">
        <v>5105010127</v>
      </c>
      <c r="G1456" s="13">
        <v>138603.63</v>
      </c>
      <c r="I1456" t="s">
        <v>160</v>
      </c>
      <c r="J1456" t="s">
        <v>591</v>
      </c>
      <c r="K1456" t="s">
        <v>171</v>
      </c>
      <c r="L1456">
        <v>5500000825</v>
      </c>
      <c r="M1456" t="s">
        <v>747</v>
      </c>
    </row>
    <row r="1457" spans="3:13">
      <c r="C1457">
        <v>2100300025</v>
      </c>
      <c r="D1457">
        <v>6426000</v>
      </c>
      <c r="E1457" t="s">
        <v>188</v>
      </c>
      <c r="F1457">
        <v>5105010127</v>
      </c>
      <c r="G1457" s="13">
        <v>1758.9</v>
      </c>
      <c r="I1457" t="s">
        <v>160</v>
      </c>
      <c r="J1457" t="s">
        <v>579</v>
      </c>
      <c r="K1457" t="s">
        <v>171</v>
      </c>
      <c r="L1457">
        <v>5500000364</v>
      </c>
      <c r="M1457" t="s">
        <v>741</v>
      </c>
    </row>
    <row r="1458" spans="3:13">
      <c r="C1458">
        <v>2100300025</v>
      </c>
      <c r="D1458">
        <v>6426000</v>
      </c>
      <c r="E1458" t="s">
        <v>188</v>
      </c>
      <c r="F1458">
        <v>5105010127</v>
      </c>
      <c r="G1458" s="13">
        <v>3517.81</v>
      </c>
      <c r="I1458" t="s">
        <v>160</v>
      </c>
      <c r="J1458" t="s">
        <v>581</v>
      </c>
      <c r="K1458" t="s">
        <v>171</v>
      </c>
      <c r="L1458">
        <v>5500000440</v>
      </c>
      <c r="M1458" t="s">
        <v>742</v>
      </c>
    </row>
    <row r="1459" spans="3:13">
      <c r="C1459">
        <v>2100300025</v>
      </c>
      <c r="D1459">
        <v>6426000</v>
      </c>
      <c r="E1459" t="s">
        <v>188</v>
      </c>
      <c r="F1459">
        <v>5105010127</v>
      </c>
      <c r="G1459" s="13">
        <v>60745.63</v>
      </c>
      <c r="I1459" t="s">
        <v>160</v>
      </c>
      <c r="J1459" t="s">
        <v>583</v>
      </c>
      <c r="K1459" t="s">
        <v>171</v>
      </c>
      <c r="L1459">
        <v>5500000517</v>
      </c>
      <c r="M1459" t="s">
        <v>743</v>
      </c>
    </row>
    <row r="1460" spans="3:13">
      <c r="C1460">
        <v>2100300025</v>
      </c>
      <c r="D1460">
        <v>6426000</v>
      </c>
      <c r="E1460" t="s">
        <v>188</v>
      </c>
      <c r="F1460">
        <v>5105010127</v>
      </c>
      <c r="G1460" s="13">
        <v>28974.71</v>
      </c>
      <c r="I1460" t="s">
        <v>160</v>
      </c>
      <c r="J1460" t="s">
        <v>585</v>
      </c>
      <c r="K1460" t="s">
        <v>171</v>
      </c>
      <c r="L1460">
        <v>5500000594</v>
      </c>
      <c r="M1460" t="s">
        <v>744</v>
      </c>
    </row>
    <row r="1461" spans="3:13">
      <c r="C1461">
        <v>2100300025</v>
      </c>
      <c r="D1461">
        <v>6426000</v>
      </c>
      <c r="E1461" t="s">
        <v>188</v>
      </c>
      <c r="F1461">
        <v>5105010127</v>
      </c>
      <c r="G1461" s="13">
        <v>30038.55</v>
      </c>
      <c r="I1461" t="s">
        <v>160</v>
      </c>
      <c r="J1461" t="s">
        <v>587</v>
      </c>
      <c r="K1461" t="s">
        <v>171</v>
      </c>
      <c r="L1461">
        <v>5500000671</v>
      </c>
      <c r="M1461" t="s">
        <v>745</v>
      </c>
    </row>
    <row r="1462" spans="3:13">
      <c r="C1462">
        <v>2100300025</v>
      </c>
      <c r="D1462">
        <v>6426000</v>
      </c>
      <c r="E1462" t="s">
        <v>188</v>
      </c>
      <c r="F1462">
        <v>5105010127</v>
      </c>
      <c r="G1462" s="13">
        <v>30038.7</v>
      </c>
      <c r="I1462" t="s">
        <v>160</v>
      </c>
      <c r="J1462" t="s">
        <v>589</v>
      </c>
      <c r="K1462" t="s">
        <v>171</v>
      </c>
      <c r="L1462">
        <v>5500000748</v>
      </c>
      <c r="M1462" t="s">
        <v>746</v>
      </c>
    </row>
    <row r="1463" spans="3:13">
      <c r="C1463">
        <v>2100300025</v>
      </c>
      <c r="D1463">
        <v>6426000</v>
      </c>
      <c r="E1463" t="s">
        <v>188</v>
      </c>
      <c r="F1463">
        <v>5105010127</v>
      </c>
      <c r="G1463" s="13">
        <v>29069.63</v>
      </c>
      <c r="I1463" t="s">
        <v>160</v>
      </c>
      <c r="J1463" t="s">
        <v>591</v>
      </c>
      <c r="K1463" t="s">
        <v>171</v>
      </c>
      <c r="L1463">
        <v>5500000825</v>
      </c>
      <c r="M1463" t="s">
        <v>747</v>
      </c>
    </row>
    <row r="1464" spans="3:13">
      <c r="C1464">
        <v>2100300025</v>
      </c>
      <c r="D1464">
        <v>6426000</v>
      </c>
      <c r="E1464" t="s">
        <v>188</v>
      </c>
      <c r="F1464">
        <v>5105010129</v>
      </c>
      <c r="G1464" s="13">
        <v>40958.9</v>
      </c>
      <c r="I1464" t="s">
        <v>160</v>
      </c>
      <c r="J1464" t="s">
        <v>587</v>
      </c>
      <c r="K1464" t="s">
        <v>748</v>
      </c>
      <c r="L1464">
        <v>5500000672</v>
      </c>
      <c r="M1464" t="s">
        <v>749</v>
      </c>
    </row>
    <row r="1465" spans="3:13">
      <c r="C1465">
        <v>2100300025</v>
      </c>
      <c r="D1465">
        <v>6426000</v>
      </c>
      <c r="E1465" t="s">
        <v>188</v>
      </c>
      <c r="F1465">
        <v>5105010129</v>
      </c>
      <c r="G1465" s="13">
        <v>48835.62</v>
      </c>
      <c r="I1465" t="s">
        <v>160</v>
      </c>
      <c r="J1465" t="s">
        <v>589</v>
      </c>
      <c r="K1465" t="s">
        <v>748</v>
      </c>
      <c r="L1465">
        <v>5500000749</v>
      </c>
      <c r="M1465" t="s">
        <v>750</v>
      </c>
    </row>
    <row r="1466" spans="3:13">
      <c r="C1466">
        <v>2100300025</v>
      </c>
      <c r="D1466">
        <v>6426000</v>
      </c>
      <c r="E1466" t="s">
        <v>188</v>
      </c>
      <c r="F1466">
        <v>5105010129</v>
      </c>
      <c r="G1466" s="13">
        <v>47260.27</v>
      </c>
      <c r="I1466" t="s">
        <v>160</v>
      </c>
      <c r="J1466" t="s">
        <v>591</v>
      </c>
      <c r="K1466" t="s">
        <v>748</v>
      </c>
      <c r="L1466">
        <v>5500000826</v>
      </c>
      <c r="M1466" t="s">
        <v>751</v>
      </c>
    </row>
    <row r="1467" spans="3:13">
      <c r="C1467">
        <v>2100300025</v>
      </c>
      <c r="D1467">
        <v>5926000</v>
      </c>
      <c r="E1467" t="s">
        <v>188</v>
      </c>
      <c r="F1467">
        <v>5105010131</v>
      </c>
      <c r="G1467">
        <v>382.84</v>
      </c>
      <c r="I1467" t="s">
        <v>160</v>
      </c>
      <c r="J1467" t="s">
        <v>571</v>
      </c>
      <c r="K1467" t="s">
        <v>172</v>
      </c>
      <c r="L1467">
        <v>5500000071</v>
      </c>
      <c r="M1467" t="s">
        <v>752</v>
      </c>
    </row>
    <row r="1468" spans="3:13">
      <c r="C1468">
        <v>2100300025</v>
      </c>
      <c r="D1468">
        <v>5926000</v>
      </c>
      <c r="E1468" t="s">
        <v>188</v>
      </c>
      <c r="F1468">
        <v>5105010131</v>
      </c>
      <c r="G1468">
        <v>194.55</v>
      </c>
      <c r="I1468" t="s">
        <v>160</v>
      </c>
      <c r="J1468" t="s">
        <v>573</v>
      </c>
      <c r="K1468" t="s">
        <v>172</v>
      </c>
      <c r="L1468">
        <v>5500000144</v>
      </c>
      <c r="M1468" t="s">
        <v>753</v>
      </c>
    </row>
    <row r="1469" spans="3:13">
      <c r="C1469">
        <v>2100300025</v>
      </c>
      <c r="D1469">
        <v>5926000</v>
      </c>
      <c r="E1469" t="s">
        <v>188</v>
      </c>
      <c r="F1469">
        <v>5105010131</v>
      </c>
      <c r="G1469">
        <v>194.55</v>
      </c>
      <c r="I1469" t="s">
        <v>160</v>
      </c>
      <c r="J1469" t="s">
        <v>575</v>
      </c>
      <c r="K1469" t="s">
        <v>172</v>
      </c>
      <c r="L1469">
        <v>5500000218</v>
      </c>
      <c r="M1469" t="s">
        <v>754</v>
      </c>
    </row>
    <row r="1470" spans="3:13">
      <c r="C1470">
        <v>2100300025</v>
      </c>
      <c r="D1470">
        <v>5926000</v>
      </c>
      <c r="E1470" t="s">
        <v>188</v>
      </c>
      <c r="F1470">
        <v>5105010131</v>
      </c>
      <c r="G1470">
        <v>175.73</v>
      </c>
      <c r="I1470" t="s">
        <v>160</v>
      </c>
      <c r="J1470" t="s">
        <v>577</v>
      </c>
      <c r="K1470" t="s">
        <v>172</v>
      </c>
      <c r="L1470">
        <v>5500000293</v>
      </c>
      <c r="M1470" t="s">
        <v>755</v>
      </c>
    </row>
    <row r="1471" spans="3:13">
      <c r="C1471">
        <v>2100300025</v>
      </c>
      <c r="D1471">
        <v>5926000</v>
      </c>
      <c r="E1471" t="s">
        <v>188</v>
      </c>
      <c r="F1471">
        <v>5105010131</v>
      </c>
      <c r="G1471">
        <v>112</v>
      </c>
      <c r="I1471" t="s">
        <v>160</v>
      </c>
      <c r="J1471" t="s">
        <v>579</v>
      </c>
      <c r="K1471" t="s">
        <v>172</v>
      </c>
      <c r="L1471">
        <v>5500000369</v>
      </c>
      <c r="M1471" t="s">
        <v>756</v>
      </c>
    </row>
    <row r="1472" spans="3:13">
      <c r="C1472">
        <v>2100300025</v>
      </c>
      <c r="D1472">
        <v>5926000</v>
      </c>
      <c r="E1472" t="s">
        <v>188</v>
      </c>
      <c r="F1472">
        <v>5105010131</v>
      </c>
      <c r="G1472">
        <v>50.79</v>
      </c>
      <c r="I1472" t="s">
        <v>160</v>
      </c>
      <c r="J1472" t="s">
        <v>581</v>
      </c>
      <c r="K1472" t="s">
        <v>172</v>
      </c>
      <c r="L1472">
        <v>5500000445</v>
      </c>
      <c r="M1472" t="s">
        <v>757</v>
      </c>
    </row>
    <row r="1473" spans="3:13">
      <c r="C1473">
        <v>2100300025</v>
      </c>
      <c r="D1473">
        <v>6031000</v>
      </c>
      <c r="E1473" t="s">
        <v>188</v>
      </c>
      <c r="F1473">
        <v>5105010131</v>
      </c>
      <c r="G1473" s="13">
        <v>1095.99</v>
      </c>
      <c r="I1473" t="s">
        <v>160</v>
      </c>
      <c r="J1473" t="s">
        <v>571</v>
      </c>
      <c r="K1473" t="s">
        <v>172</v>
      </c>
      <c r="L1473">
        <v>5500000071</v>
      </c>
      <c r="M1473" t="s">
        <v>752</v>
      </c>
    </row>
    <row r="1474" spans="3:13">
      <c r="C1474">
        <v>2100300025</v>
      </c>
      <c r="D1474">
        <v>6031000</v>
      </c>
      <c r="E1474" t="s">
        <v>188</v>
      </c>
      <c r="F1474">
        <v>5105010131</v>
      </c>
      <c r="G1474">
        <v>556.98</v>
      </c>
      <c r="I1474" t="s">
        <v>160</v>
      </c>
      <c r="J1474" t="s">
        <v>573</v>
      </c>
      <c r="K1474" t="s">
        <v>172</v>
      </c>
      <c r="L1474">
        <v>5500000144</v>
      </c>
      <c r="M1474" t="s">
        <v>753</v>
      </c>
    </row>
    <row r="1475" spans="3:13">
      <c r="C1475">
        <v>2100300025</v>
      </c>
      <c r="D1475">
        <v>6031000</v>
      </c>
      <c r="E1475" t="s">
        <v>188</v>
      </c>
      <c r="F1475">
        <v>5105010131</v>
      </c>
      <c r="G1475">
        <v>556.99</v>
      </c>
      <c r="I1475" t="s">
        <v>160</v>
      </c>
      <c r="J1475" t="s">
        <v>575</v>
      </c>
      <c r="K1475" t="s">
        <v>172</v>
      </c>
      <c r="L1475">
        <v>5500000218</v>
      </c>
      <c r="M1475" t="s">
        <v>754</v>
      </c>
    </row>
    <row r="1476" spans="3:13">
      <c r="C1476">
        <v>2100300025</v>
      </c>
      <c r="D1476">
        <v>6031000</v>
      </c>
      <c r="E1476" t="s">
        <v>188</v>
      </c>
      <c r="F1476">
        <v>5105010131</v>
      </c>
      <c r="G1476">
        <v>503.08</v>
      </c>
      <c r="I1476" t="s">
        <v>160</v>
      </c>
      <c r="J1476" t="s">
        <v>577</v>
      </c>
      <c r="K1476" t="s">
        <v>172</v>
      </c>
      <c r="L1476">
        <v>5500000293</v>
      </c>
      <c r="M1476" t="s">
        <v>755</v>
      </c>
    </row>
    <row r="1477" spans="3:13">
      <c r="C1477">
        <v>2100300025</v>
      </c>
      <c r="D1477">
        <v>6031000</v>
      </c>
      <c r="E1477" t="s">
        <v>188</v>
      </c>
      <c r="F1477">
        <v>5105010131</v>
      </c>
      <c r="G1477">
        <v>556.98</v>
      </c>
      <c r="I1477" t="s">
        <v>160</v>
      </c>
      <c r="J1477" t="s">
        <v>579</v>
      </c>
      <c r="K1477" t="s">
        <v>172</v>
      </c>
      <c r="L1477">
        <v>5500000369</v>
      </c>
      <c r="M1477" t="s">
        <v>756</v>
      </c>
    </row>
    <row r="1478" spans="3:13">
      <c r="C1478">
        <v>2100300025</v>
      </c>
      <c r="D1478">
        <v>6031000</v>
      </c>
      <c r="E1478" t="s">
        <v>188</v>
      </c>
      <c r="F1478">
        <v>5105010131</v>
      </c>
      <c r="G1478">
        <v>539.01</v>
      </c>
      <c r="I1478" t="s">
        <v>160</v>
      </c>
      <c r="J1478" t="s">
        <v>581</v>
      </c>
      <c r="K1478" t="s">
        <v>172</v>
      </c>
      <c r="L1478">
        <v>5500000445</v>
      </c>
      <c r="M1478" t="s">
        <v>757</v>
      </c>
    </row>
    <row r="1479" spans="3:13">
      <c r="C1479">
        <v>2100300025</v>
      </c>
      <c r="D1479">
        <v>6031000</v>
      </c>
      <c r="E1479" t="s">
        <v>188</v>
      </c>
      <c r="F1479">
        <v>5105010131</v>
      </c>
      <c r="G1479">
        <v>556.98</v>
      </c>
      <c r="I1479" t="s">
        <v>160</v>
      </c>
      <c r="J1479" t="s">
        <v>583</v>
      </c>
      <c r="K1479" t="s">
        <v>172</v>
      </c>
      <c r="L1479">
        <v>5500000522</v>
      </c>
      <c r="M1479" t="s">
        <v>758</v>
      </c>
    </row>
    <row r="1480" spans="3:13">
      <c r="C1480">
        <v>2100300025</v>
      </c>
      <c r="D1480">
        <v>6031000</v>
      </c>
      <c r="E1480" t="s">
        <v>188</v>
      </c>
      <c r="F1480">
        <v>5105010131</v>
      </c>
      <c r="G1480">
        <v>539.02</v>
      </c>
      <c r="I1480" t="s">
        <v>160</v>
      </c>
      <c r="J1480" t="s">
        <v>585</v>
      </c>
      <c r="K1480" t="s">
        <v>172</v>
      </c>
      <c r="L1480">
        <v>5500000599</v>
      </c>
      <c r="M1480" t="s">
        <v>759</v>
      </c>
    </row>
    <row r="1481" spans="3:13">
      <c r="C1481">
        <v>2100300025</v>
      </c>
      <c r="D1481">
        <v>6031000</v>
      </c>
      <c r="E1481" t="s">
        <v>188</v>
      </c>
      <c r="F1481">
        <v>5105010131</v>
      </c>
      <c r="G1481">
        <v>556.98</v>
      </c>
      <c r="I1481" t="s">
        <v>160</v>
      </c>
      <c r="J1481" t="s">
        <v>587</v>
      </c>
      <c r="K1481" t="s">
        <v>172</v>
      </c>
      <c r="L1481">
        <v>5500000676</v>
      </c>
      <c r="M1481" t="s">
        <v>760</v>
      </c>
    </row>
    <row r="1482" spans="3:13">
      <c r="C1482">
        <v>2100300025</v>
      </c>
      <c r="D1482">
        <v>6031000</v>
      </c>
      <c r="E1482" t="s">
        <v>188</v>
      </c>
      <c r="F1482">
        <v>5105010131</v>
      </c>
      <c r="G1482">
        <v>556.98</v>
      </c>
      <c r="I1482" t="s">
        <v>160</v>
      </c>
      <c r="J1482" t="s">
        <v>589</v>
      </c>
      <c r="K1482" t="s">
        <v>172</v>
      </c>
      <c r="L1482">
        <v>5500000753</v>
      </c>
      <c r="M1482" t="s">
        <v>761</v>
      </c>
    </row>
    <row r="1483" spans="3:13">
      <c r="C1483">
        <v>2100300025</v>
      </c>
      <c r="D1483">
        <v>6031000</v>
      </c>
      <c r="E1483" t="s">
        <v>188</v>
      </c>
      <c r="F1483">
        <v>5105010131</v>
      </c>
      <c r="G1483">
        <v>539.01</v>
      </c>
      <c r="I1483" t="s">
        <v>160</v>
      </c>
      <c r="J1483" t="s">
        <v>591</v>
      </c>
      <c r="K1483" t="s">
        <v>172</v>
      </c>
      <c r="L1483">
        <v>5500000830</v>
      </c>
      <c r="M1483" t="s">
        <v>762</v>
      </c>
    </row>
    <row r="1484" spans="3:13">
      <c r="C1484">
        <v>2100300025</v>
      </c>
      <c r="D1484">
        <v>6026000</v>
      </c>
      <c r="E1484" t="s">
        <v>188</v>
      </c>
      <c r="F1484">
        <v>5105010131</v>
      </c>
      <c r="G1484" s="13">
        <v>1695.96</v>
      </c>
      <c r="I1484" t="s">
        <v>160</v>
      </c>
      <c r="J1484" t="s">
        <v>571</v>
      </c>
      <c r="K1484" t="s">
        <v>172</v>
      </c>
      <c r="L1484">
        <v>5500000071</v>
      </c>
      <c r="M1484" t="s">
        <v>752</v>
      </c>
    </row>
    <row r="1485" spans="3:13">
      <c r="C1485">
        <v>2100300025</v>
      </c>
      <c r="D1485">
        <v>6026000</v>
      </c>
      <c r="E1485" t="s">
        <v>188</v>
      </c>
      <c r="F1485">
        <v>5105010131</v>
      </c>
      <c r="G1485">
        <v>861.89</v>
      </c>
      <c r="I1485" t="s">
        <v>160</v>
      </c>
      <c r="J1485" t="s">
        <v>573</v>
      </c>
      <c r="K1485" t="s">
        <v>172</v>
      </c>
      <c r="L1485">
        <v>5500000144</v>
      </c>
      <c r="M1485" t="s">
        <v>753</v>
      </c>
    </row>
    <row r="1486" spans="3:13">
      <c r="C1486">
        <v>2100300025</v>
      </c>
      <c r="D1486">
        <v>6026000</v>
      </c>
      <c r="E1486" t="s">
        <v>188</v>
      </c>
      <c r="F1486">
        <v>5105010131</v>
      </c>
      <c r="G1486">
        <v>861.88</v>
      </c>
      <c r="I1486" t="s">
        <v>160</v>
      </c>
      <c r="J1486" t="s">
        <v>575</v>
      </c>
      <c r="K1486" t="s">
        <v>172</v>
      </c>
      <c r="L1486">
        <v>5500000218</v>
      </c>
      <c r="M1486" t="s">
        <v>754</v>
      </c>
    </row>
    <row r="1487" spans="3:13">
      <c r="C1487">
        <v>2100300025</v>
      </c>
      <c r="D1487">
        <v>6026000</v>
      </c>
      <c r="E1487" t="s">
        <v>188</v>
      </c>
      <c r="F1487">
        <v>5105010131</v>
      </c>
      <c r="G1487">
        <v>778.49</v>
      </c>
      <c r="I1487" t="s">
        <v>160</v>
      </c>
      <c r="J1487" t="s">
        <v>577</v>
      </c>
      <c r="K1487" t="s">
        <v>172</v>
      </c>
      <c r="L1487">
        <v>5500000293</v>
      </c>
      <c r="M1487" t="s">
        <v>755</v>
      </c>
    </row>
    <row r="1488" spans="3:13">
      <c r="C1488">
        <v>2100300025</v>
      </c>
      <c r="D1488">
        <v>6026000</v>
      </c>
      <c r="E1488" t="s">
        <v>188</v>
      </c>
      <c r="F1488">
        <v>5105010131</v>
      </c>
      <c r="G1488">
        <v>861.88</v>
      </c>
      <c r="I1488" t="s">
        <v>160</v>
      </c>
      <c r="J1488" t="s">
        <v>579</v>
      </c>
      <c r="K1488" t="s">
        <v>172</v>
      </c>
      <c r="L1488">
        <v>5500000369</v>
      </c>
      <c r="M1488" t="s">
        <v>756</v>
      </c>
    </row>
    <row r="1489" spans="3:13">
      <c r="C1489">
        <v>2100300025</v>
      </c>
      <c r="D1489">
        <v>6026000</v>
      </c>
      <c r="E1489" t="s">
        <v>188</v>
      </c>
      <c r="F1489">
        <v>5105010131</v>
      </c>
      <c r="G1489">
        <v>834.08</v>
      </c>
      <c r="I1489" t="s">
        <v>160</v>
      </c>
      <c r="J1489" t="s">
        <v>581</v>
      </c>
      <c r="K1489" t="s">
        <v>172</v>
      </c>
      <c r="L1489">
        <v>5500000445</v>
      </c>
      <c r="M1489" t="s">
        <v>757</v>
      </c>
    </row>
    <row r="1490" spans="3:13">
      <c r="C1490">
        <v>2100300025</v>
      </c>
      <c r="D1490">
        <v>6026000</v>
      </c>
      <c r="E1490" t="s">
        <v>188</v>
      </c>
      <c r="F1490">
        <v>5105010131</v>
      </c>
      <c r="G1490">
        <v>861.88</v>
      </c>
      <c r="I1490" t="s">
        <v>160</v>
      </c>
      <c r="J1490" t="s">
        <v>583</v>
      </c>
      <c r="K1490" t="s">
        <v>172</v>
      </c>
      <c r="L1490">
        <v>5500000522</v>
      </c>
      <c r="M1490" t="s">
        <v>758</v>
      </c>
    </row>
    <row r="1491" spans="3:13">
      <c r="C1491">
        <v>2100300025</v>
      </c>
      <c r="D1491">
        <v>6026000</v>
      </c>
      <c r="E1491" t="s">
        <v>188</v>
      </c>
      <c r="F1491">
        <v>5105010131</v>
      </c>
      <c r="G1491">
        <v>834.09</v>
      </c>
      <c r="I1491" t="s">
        <v>160</v>
      </c>
      <c r="J1491" t="s">
        <v>585</v>
      </c>
      <c r="K1491" t="s">
        <v>172</v>
      </c>
      <c r="L1491">
        <v>5500000599</v>
      </c>
      <c r="M1491" t="s">
        <v>759</v>
      </c>
    </row>
    <row r="1492" spans="3:13">
      <c r="C1492">
        <v>2100300025</v>
      </c>
      <c r="D1492">
        <v>6026000</v>
      </c>
      <c r="E1492" t="s">
        <v>188</v>
      </c>
      <c r="F1492">
        <v>5105010131</v>
      </c>
      <c r="G1492">
        <v>861.89</v>
      </c>
      <c r="I1492" t="s">
        <v>160</v>
      </c>
      <c r="J1492" t="s">
        <v>587</v>
      </c>
      <c r="K1492" t="s">
        <v>172</v>
      </c>
      <c r="L1492">
        <v>5500000676</v>
      </c>
      <c r="M1492" t="s">
        <v>760</v>
      </c>
    </row>
    <row r="1493" spans="3:13">
      <c r="C1493">
        <v>2100300025</v>
      </c>
      <c r="D1493">
        <v>6026000</v>
      </c>
      <c r="E1493" t="s">
        <v>188</v>
      </c>
      <c r="F1493">
        <v>5105010131</v>
      </c>
      <c r="G1493">
        <v>767.15</v>
      </c>
      <c r="I1493" t="s">
        <v>160</v>
      </c>
      <c r="J1493" t="s">
        <v>589</v>
      </c>
      <c r="K1493" t="s">
        <v>172</v>
      </c>
      <c r="L1493">
        <v>5500000753</v>
      </c>
      <c r="M1493" t="s">
        <v>761</v>
      </c>
    </row>
    <row r="1494" spans="3:13">
      <c r="C1494">
        <v>2100300025</v>
      </c>
      <c r="D1494">
        <v>6026000</v>
      </c>
      <c r="E1494" t="s">
        <v>188</v>
      </c>
      <c r="F1494">
        <v>5105010131</v>
      </c>
      <c r="G1494">
        <v>724.76</v>
      </c>
      <c r="I1494" t="s">
        <v>160</v>
      </c>
      <c r="J1494" t="s">
        <v>591</v>
      </c>
      <c r="K1494" t="s">
        <v>172</v>
      </c>
      <c r="L1494">
        <v>5500000830</v>
      </c>
      <c r="M1494" t="s">
        <v>762</v>
      </c>
    </row>
    <row r="1495" spans="3:13">
      <c r="C1495">
        <v>2100300025</v>
      </c>
      <c r="D1495">
        <v>6126000</v>
      </c>
      <c r="E1495" t="s">
        <v>188</v>
      </c>
      <c r="F1495">
        <v>5105010131</v>
      </c>
      <c r="G1495">
        <v>622.37</v>
      </c>
      <c r="I1495" t="s">
        <v>160</v>
      </c>
      <c r="J1495" t="s">
        <v>571</v>
      </c>
      <c r="K1495" t="s">
        <v>172</v>
      </c>
      <c r="L1495">
        <v>5500000071</v>
      </c>
      <c r="M1495" t="s">
        <v>752</v>
      </c>
    </row>
    <row r="1496" spans="3:13">
      <c r="C1496">
        <v>2100300025</v>
      </c>
      <c r="D1496">
        <v>6126000</v>
      </c>
      <c r="E1496" t="s">
        <v>188</v>
      </c>
      <c r="F1496">
        <v>5105010131</v>
      </c>
      <c r="G1496">
        <v>316.27999999999997</v>
      </c>
      <c r="I1496" t="s">
        <v>160</v>
      </c>
      <c r="J1496" t="s">
        <v>573</v>
      </c>
      <c r="K1496" t="s">
        <v>172</v>
      </c>
      <c r="L1496">
        <v>5500000144</v>
      </c>
      <c r="M1496" t="s">
        <v>753</v>
      </c>
    </row>
    <row r="1497" spans="3:13">
      <c r="C1497">
        <v>2100300025</v>
      </c>
      <c r="D1497">
        <v>6126000</v>
      </c>
      <c r="E1497" t="s">
        <v>188</v>
      </c>
      <c r="F1497">
        <v>5105010131</v>
      </c>
      <c r="G1497">
        <v>316.29000000000002</v>
      </c>
      <c r="I1497" t="s">
        <v>160</v>
      </c>
      <c r="J1497" t="s">
        <v>575</v>
      </c>
      <c r="K1497" t="s">
        <v>172</v>
      </c>
      <c r="L1497">
        <v>5500000218</v>
      </c>
      <c r="M1497" t="s">
        <v>754</v>
      </c>
    </row>
    <row r="1498" spans="3:13">
      <c r="C1498">
        <v>2100300025</v>
      </c>
      <c r="D1498">
        <v>6126000</v>
      </c>
      <c r="E1498" t="s">
        <v>188</v>
      </c>
      <c r="F1498">
        <v>5105010131</v>
      </c>
      <c r="G1498">
        <v>285.67</v>
      </c>
      <c r="I1498" t="s">
        <v>160</v>
      </c>
      <c r="J1498" t="s">
        <v>577</v>
      </c>
      <c r="K1498" t="s">
        <v>172</v>
      </c>
      <c r="L1498">
        <v>5500000293</v>
      </c>
      <c r="M1498" t="s">
        <v>755</v>
      </c>
    </row>
    <row r="1499" spans="3:13">
      <c r="C1499">
        <v>2100300025</v>
      </c>
      <c r="D1499">
        <v>6126000</v>
      </c>
      <c r="E1499" t="s">
        <v>188</v>
      </c>
      <c r="F1499">
        <v>5105010131</v>
      </c>
      <c r="G1499">
        <v>316.29000000000002</v>
      </c>
      <c r="I1499" t="s">
        <v>160</v>
      </c>
      <c r="J1499" t="s">
        <v>579</v>
      </c>
      <c r="K1499" t="s">
        <v>172</v>
      </c>
      <c r="L1499">
        <v>5500000369</v>
      </c>
      <c r="M1499" t="s">
        <v>756</v>
      </c>
    </row>
    <row r="1500" spans="3:13">
      <c r="C1500">
        <v>2100300025</v>
      </c>
      <c r="D1500">
        <v>6126000</v>
      </c>
      <c r="E1500" t="s">
        <v>188</v>
      </c>
      <c r="F1500">
        <v>5105010131</v>
      </c>
      <c r="G1500">
        <v>306.08</v>
      </c>
      <c r="I1500" t="s">
        <v>160</v>
      </c>
      <c r="J1500" t="s">
        <v>581</v>
      </c>
      <c r="K1500" t="s">
        <v>172</v>
      </c>
      <c r="L1500">
        <v>5500000445</v>
      </c>
      <c r="M1500" t="s">
        <v>757</v>
      </c>
    </row>
    <row r="1501" spans="3:13">
      <c r="C1501">
        <v>2100300025</v>
      </c>
      <c r="D1501">
        <v>6126000</v>
      </c>
      <c r="E1501" t="s">
        <v>188</v>
      </c>
      <c r="F1501">
        <v>5105010131</v>
      </c>
      <c r="G1501">
        <v>316.29000000000002</v>
      </c>
      <c r="I1501" t="s">
        <v>160</v>
      </c>
      <c r="J1501" t="s">
        <v>583</v>
      </c>
      <c r="K1501" t="s">
        <v>172</v>
      </c>
      <c r="L1501">
        <v>5500000522</v>
      </c>
      <c r="M1501" t="s">
        <v>758</v>
      </c>
    </row>
    <row r="1502" spans="3:13">
      <c r="C1502">
        <v>2100300025</v>
      </c>
      <c r="D1502">
        <v>6126000</v>
      </c>
      <c r="E1502" t="s">
        <v>188</v>
      </c>
      <c r="F1502">
        <v>5105010131</v>
      </c>
      <c r="G1502">
        <v>306.08</v>
      </c>
      <c r="I1502" t="s">
        <v>160</v>
      </c>
      <c r="J1502" t="s">
        <v>585</v>
      </c>
      <c r="K1502" t="s">
        <v>172</v>
      </c>
      <c r="L1502">
        <v>5500000599</v>
      </c>
      <c r="M1502" t="s">
        <v>759</v>
      </c>
    </row>
    <row r="1503" spans="3:13">
      <c r="C1503">
        <v>2100300025</v>
      </c>
      <c r="D1503">
        <v>6126000</v>
      </c>
      <c r="E1503" t="s">
        <v>188</v>
      </c>
      <c r="F1503">
        <v>5105010131</v>
      </c>
      <c r="G1503">
        <v>316.27999999999997</v>
      </c>
      <c r="I1503" t="s">
        <v>160</v>
      </c>
      <c r="J1503" t="s">
        <v>587</v>
      </c>
      <c r="K1503" t="s">
        <v>172</v>
      </c>
      <c r="L1503">
        <v>5500000676</v>
      </c>
      <c r="M1503" t="s">
        <v>760</v>
      </c>
    </row>
    <row r="1504" spans="3:13">
      <c r="C1504">
        <v>2100300025</v>
      </c>
      <c r="D1504">
        <v>6126000</v>
      </c>
      <c r="E1504" t="s">
        <v>188</v>
      </c>
      <c r="F1504">
        <v>5105010131</v>
      </c>
      <c r="G1504">
        <v>316.29000000000002</v>
      </c>
      <c r="I1504" t="s">
        <v>160</v>
      </c>
      <c r="J1504" t="s">
        <v>589</v>
      </c>
      <c r="K1504" t="s">
        <v>172</v>
      </c>
      <c r="L1504">
        <v>5500000753</v>
      </c>
      <c r="M1504" t="s">
        <v>761</v>
      </c>
    </row>
    <row r="1505" spans="3:13">
      <c r="C1505">
        <v>2100300025</v>
      </c>
      <c r="D1505">
        <v>6126000</v>
      </c>
      <c r="E1505" t="s">
        <v>188</v>
      </c>
      <c r="F1505">
        <v>5105010131</v>
      </c>
      <c r="G1505">
        <v>306.08</v>
      </c>
      <c r="I1505" t="s">
        <v>160</v>
      </c>
      <c r="J1505" t="s">
        <v>591</v>
      </c>
      <c r="K1505" t="s">
        <v>172</v>
      </c>
      <c r="L1505">
        <v>5500000830</v>
      </c>
      <c r="M1505" t="s">
        <v>762</v>
      </c>
    </row>
    <row r="1506" spans="3:13">
      <c r="C1506">
        <v>2100300025</v>
      </c>
      <c r="D1506">
        <v>6226000</v>
      </c>
      <c r="E1506" t="s">
        <v>188</v>
      </c>
      <c r="F1506">
        <v>5105010131</v>
      </c>
      <c r="G1506">
        <v>536.47</v>
      </c>
      <c r="I1506" t="s">
        <v>160</v>
      </c>
      <c r="J1506" t="s">
        <v>571</v>
      </c>
      <c r="K1506" t="s">
        <v>172</v>
      </c>
      <c r="L1506">
        <v>5500000071</v>
      </c>
      <c r="M1506" t="s">
        <v>752</v>
      </c>
    </row>
    <row r="1507" spans="3:13">
      <c r="C1507">
        <v>2100300025</v>
      </c>
      <c r="D1507">
        <v>6226000</v>
      </c>
      <c r="E1507" t="s">
        <v>188</v>
      </c>
      <c r="F1507">
        <v>5105010131</v>
      </c>
      <c r="G1507">
        <v>272.63</v>
      </c>
      <c r="I1507" t="s">
        <v>160</v>
      </c>
      <c r="J1507" t="s">
        <v>573</v>
      </c>
      <c r="K1507" t="s">
        <v>172</v>
      </c>
      <c r="L1507">
        <v>5500000144</v>
      </c>
      <c r="M1507" t="s">
        <v>753</v>
      </c>
    </row>
    <row r="1508" spans="3:13">
      <c r="C1508">
        <v>2100300025</v>
      </c>
      <c r="D1508">
        <v>6226000</v>
      </c>
      <c r="E1508" t="s">
        <v>188</v>
      </c>
      <c r="F1508">
        <v>5105010131</v>
      </c>
      <c r="G1508">
        <v>272.63</v>
      </c>
      <c r="I1508" t="s">
        <v>160</v>
      </c>
      <c r="J1508" t="s">
        <v>575</v>
      </c>
      <c r="K1508" t="s">
        <v>172</v>
      </c>
      <c r="L1508">
        <v>5500000218</v>
      </c>
      <c r="M1508" t="s">
        <v>754</v>
      </c>
    </row>
    <row r="1509" spans="3:13">
      <c r="C1509">
        <v>2100300025</v>
      </c>
      <c r="D1509">
        <v>6226000</v>
      </c>
      <c r="E1509" t="s">
        <v>188</v>
      </c>
      <c r="F1509">
        <v>5105010131</v>
      </c>
      <c r="G1509">
        <v>246.24</v>
      </c>
      <c r="I1509" t="s">
        <v>160</v>
      </c>
      <c r="J1509" t="s">
        <v>577</v>
      </c>
      <c r="K1509" t="s">
        <v>172</v>
      </c>
      <c r="L1509">
        <v>5500000294</v>
      </c>
      <c r="M1509" t="s">
        <v>763</v>
      </c>
    </row>
    <row r="1510" spans="3:13">
      <c r="C1510">
        <v>2100300025</v>
      </c>
      <c r="D1510">
        <v>6226000</v>
      </c>
      <c r="E1510" t="s">
        <v>188</v>
      </c>
      <c r="F1510">
        <v>5105010131</v>
      </c>
      <c r="G1510">
        <v>272.63</v>
      </c>
      <c r="I1510" t="s">
        <v>160</v>
      </c>
      <c r="J1510" t="s">
        <v>579</v>
      </c>
      <c r="K1510" t="s">
        <v>172</v>
      </c>
      <c r="L1510">
        <v>5500000369</v>
      </c>
      <c r="M1510" t="s">
        <v>756</v>
      </c>
    </row>
    <row r="1511" spans="3:13">
      <c r="C1511">
        <v>2100300025</v>
      </c>
      <c r="D1511">
        <v>6226000</v>
      </c>
      <c r="E1511" t="s">
        <v>188</v>
      </c>
      <c r="F1511">
        <v>5105010131</v>
      </c>
      <c r="G1511">
        <v>263.83999999999997</v>
      </c>
      <c r="I1511" t="s">
        <v>160</v>
      </c>
      <c r="J1511" t="s">
        <v>581</v>
      </c>
      <c r="K1511" t="s">
        <v>172</v>
      </c>
      <c r="L1511">
        <v>5500000445</v>
      </c>
      <c r="M1511" t="s">
        <v>757</v>
      </c>
    </row>
    <row r="1512" spans="3:13">
      <c r="C1512">
        <v>2100300025</v>
      </c>
      <c r="D1512">
        <v>6226000</v>
      </c>
      <c r="E1512" t="s">
        <v>188</v>
      </c>
      <c r="F1512">
        <v>5105010131</v>
      </c>
      <c r="G1512">
        <v>272.63</v>
      </c>
      <c r="I1512" t="s">
        <v>160</v>
      </c>
      <c r="J1512" t="s">
        <v>583</v>
      </c>
      <c r="K1512" t="s">
        <v>172</v>
      </c>
      <c r="L1512">
        <v>5500000522</v>
      </c>
      <c r="M1512" t="s">
        <v>758</v>
      </c>
    </row>
    <row r="1513" spans="3:13">
      <c r="C1513">
        <v>2100300025</v>
      </c>
      <c r="D1513">
        <v>6226000</v>
      </c>
      <c r="E1513" t="s">
        <v>188</v>
      </c>
      <c r="F1513">
        <v>5105010131</v>
      </c>
      <c r="G1513">
        <v>263.83</v>
      </c>
      <c r="I1513" t="s">
        <v>160</v>
      </c>
      <c r="J1513" t="s">
        <v>585</v>
      </c>
      <c r="K1513" t="s">
        <v>172</v>
      </c>
      <c r="L1513">
        <v>5500000599</v>
      </c>
      <c r="M1513" t="s">
        <v>759</v>
      </c>
    </row>
    <row r="1514" spans="3:13">
      <c r="C1514">
        <v>2100300025</v>
      </c>
      <c r="D1514">
        <v>6226000</v>
      </c>
      <c r="E1514" t="s">
        <v>188</v>
      </c>
      <c r="F1514">
        <v>5105010131</v>
      </c>
      <c r="G1514">
        <v>272.63</v>
      </c>
      <c r="I1514" t="s">
        <v>160</v>
      </c>
      <c r="J1514" t="s">
        <v>587</v>
      </c>
      <c r="K1514" t="s">
        <v>172</v>
      </c>
      <c r="L1514">
        <v>5500000676</v>
      </c>
      <c r="M1514" t="s">
        <v>760</v>
      </c>
    </row>
    <row r="1515" spans="3:13">
      <c r="C1515">
        <v>2100300025</v>
      </c>
      <c r="D1515">
        <v>6226000</v>
      </c>
      <c r="E1515" t="s">
        <v>188</v>
      </c>
      <c r="F1515">
        <v>5105010131</v>
      </c>
      <c r="G1515">
        <v>272.63</v>
      </c>
      <c r="I1515" t="s">
        <v>160</v>
      </c>
      <c r="J1515" t="s">
        <v>589</v>
      </c>
      <c r="K1515" t="s">
        <v>172</v>
      </c>
      <c r="L1515">
        <v>5500000753</v>
      </c>
      <c r="M1515" t="s">
        <v>761</v>
      </c>
    </row>
    <row r="1516" spans="3:13">
      <c r="C1516">
        <v>2100300025</v>
      </c>
      <c r="D1516">
        <v>6226000</v>
      </c>
      <c r="E1516" t="s">
        <v>188</v>
      </c>
      <c r="F1516">
        <v>5105010131</v>
      </c>
      <c r="G1516">
        <v>263.83999999999997</v>
      </c>
      <c r="I1516" t="s">
        <v>160</v>
      </c>
      <c r="J1516" t="s">
        <v>591</v>
      </c>
      <c r="K1516" t="s">
        <v>172</v>
      </c>
      <c r="L1516">
        <v>5500000830</v>
      </c>
      <c r="M1516" t="s">
        <v>762</v>
      </c>
    </row>
    <row r="1517" spans="3:13">
      <c r="C1517">
        <v>2100300025</v>
      </c>
      <c r="D1517">
        <v>6426000</v>
      </c>
      <c r="E1517" t="s">
        <v>188</v>
      </c>
      <c r="F1517">
        <v>5105010131</v>
      </c>
      <c r="G1517">
        <v>150.56</v>
      </c>
      <c r="I1517" t="s">
        <v>160</v>
      </c>
      <c r="J1517" t="s">
        <v>585</v>
      </c>
      <c r="K1517" t="s">
        <v>172</v>
      </c>
      <c r="L1517">
        <v>5500000599</v>
      </c>
      <c r="M1517" t="s">
        <v>759</v>
      </c>
    </row>
    <row r="1518" spans="3:13">
      <c r="C1518">
        <v>2100300025</v>
      </c>
      <c r="D1518">
        <v>6426000</v>
      </c>
      <c r="E1518" t="s">
        <v>188</v>
      </c>
      <c r="F1518">
        <v>5105010131</v>
      </c>
      <c r="G1518">
        <v>212.16</v>
      </c>
      <c r="I1518" t="s">
        <v>160</v>
      </c>
      <c r="J1518" t="s">
        <v>587</v>
      </c>
      <c r="K1518" t="s">
        <v>172</v>
      </c>
      <c r="L1518">
        <v>5500000676</v>
      </c>
      <c r="M1518" t="s">
        <v>760</v>
      </c>
    </row>
    <row r="1519" spans="3:13">
      <c r="C1519">
        <v>2100300025</v>
      </c>
      <c r="D1519">
        <v>6426000</v>
      </c>
      <c r="E1519" t="s">
        <v>188</v>
      </c>
      <c r="F1519">
        <v>5105010131</v>
      </c>
      <c r="G1519">
        <v>212.16</v>
      </c>
      <c r="I1519" t="s">
        <v>160</v>
      </c>
      <c r="J1519" t="s">
        <v>589</v>
      </c>
      <c r="K1519" t="s">
        <v>172</v>
      </c>
      <c r="L1519">
        <v>5500000753</v>
      </c>
      <c r="M1519" t="s">
        <v>761</v>
      </c>
    </row>
    <row r="1520" spans="3:13">
      <c r="C1520">
        <v>2100300025</v>
      </c>
      <c r="D1520">
        <v>6426000</v>
      </c>
      <c r="E1520" t="s">
        <v>188</v>
      </c>
      <c r="F1520">
        <v>5105010131</v>
      </c>
      <c r="G1520">
        <v>205.32</v>
      </c>
      <c r="I1520" t="s">
        <v>160</v>
      </c>
      <c r="J1520" t="s">
        <v>591</v>
      </c>
      <c r="K1520" t="s">
        <v>172</v>
      </c>
      <c r="L1520">
        <v>5500000830</v>
      </c>
      <c r="M1520" t="s">
        <v>762</v>
      </c>
    </row>
    <row r="1521" spans="3:13">
      <c r="C1521">
        <v>2100300025</v>
      </c>
      <c r="D1521">
        <v>6226000</v>
      </c>
      <c r="E1521" t="s">
        <v>188</v>
      </c>
      <c r="F1521">
        <v>5105010133</v>
      </c>
      <c r="G1521" s="13">
        <v>2727.03</v>
      </c>
      <c r="I1521" t="s">
        <v>160</v>
      </c>
      <c r="J1521" t="s">
        <v>571</v>
      </c>
      <c r="K1521" t="s">
        <v>202</v>
      </c>
      <c r="L1521">
        <v>5500000072</v>
      </c>
      <c r="M1521" t="s">
        <v>764</v>
      </c>
    </row>
    <row r="1522" spans="3:13">
      <c r="C1522">
        <v>2100300025</v>
      </c>
      <c r="D1522">
        <v>6226000</v>
      </c>
      <c r="E1522" t="s">
        <v>188</v>
      </c>
      <c r="F1522">
        <v>5105010133</v>
      </c>
      <c r="G1522" s="13">
        <v>1385.87</v>
      </c>
      <c r="I1522" t="s">
        <v>160</v>
      </c>
      <c r="J1522" t="s">
        <v>573</v>
      </c>
      <c r="K1522" t="s">
        <v>202</v>
      </c>
      <c r="L1522">
        <v>5500000145</v>
      </c>
      <c r="M1522" t="s">
        <v>765</v>
      </c>
    </row>
    <row r="1523" spans="3:13">
      <c r="C1523">
        <v>2100300025</v>
      </c>
      <c r="D1523">
        <v>6226000</v>
      </c>
      <c r="E1523" t="s">
        <v>188</v>
      </c>
      <c r="F1523">
        <v>5105010133</v>
      </c>
      <c r="G1523" s="13">
        <v>1385.87</v>
      </c>
      <c r="I1523" t="s">
        <v>160</v>
      </c>
      <c r="J1523" t="s">
        <v>575</v>
      </c>
      <c r="K1523" t="s">
        <v>202</v>
      </c>
      <c r="L1523">
        <v>5500000219</v>
      </c>
      <c r="M1523" t="s">
        <v>766</v>
      </c>
    </row>
    <row r="1524" spans="3:13">
      <c r="C1524">
        <v>2100300025</v>
      </c>
      <c r="D1524">
        <v>6226000</v>
      </c>
      <c r="E1524" t="s">
        <v>188</v>
      </c>
      <c r="F1524">
        <v>5105010133</v>
      </c>
      <c r="G1524">
        <v>490.76</v>
      </c>
      <c r="I1524" t="s">
        <v>160</v>
      </c>
      <c r="J1524" t="s">
        <v>577</v>
      </c>
      <c r="K1524" t="s">
        <v>202</v>
      </c>
      <c r="L1524">
        <v>5500000295</v>
      </c>
      <c r="M1524" t="s">
        <v>767</v>
      </c>
    </row>
    <row r="1525" spans="3:13">
      <c r="C1525">
        <v>2100300025</v>
      </c>
      <c r="D1525">
        <v>6326000</v>
      </c>
      <c r="E1525" t="s">
        <v>188</v>
      </c>
      <c r="F1525">
        <v>5105010133</v>
      </c>
      <c r="G1525" s="13">
        <v>9202.5400000000009</v>
      </c>
      <c r="I1525" t="s">
        <v>160</v>
      </c>
      <c r="J1525" t="s">
        <v>571</v>
      </c>
      <c r="K1525" t="s">
        <v>202</v>
      </c>
      <c r="L1525">
        <v>5500000072</v>
      </c>
      <c r="M1525" t="s">
        <v>764</v>
      </c>
    </row>
    <row r="1526" spans="3:13">
      <c r="C1526">
        <v>2100300025</v>
      </c>
      <c r="D1526">
        <v>6326000</v>
      </c>
      <c r="E1526" t="s">
        <v>188</v>
      </c>
      <c r="F1526">
        <v>5105010133</v>
      </c>
      <c r="G1526" s="13">
        <v>4676.71</v>
      </c>
      <c r="I1526" t="s">
        <v>160</v>
      </c>
      <c r="J1526" t="s">
        <v>573</v>
      </c>
      <c r="K1526" t="s">
        <v>202</v>
      </c>
      <c r="L1526">
        <v>5500000145</v>
      </c>
      <c r="M1526" t="s">
        <v>765</v>
      </c>
    </row>
    <row r="1527" spans="3:13">
      <c r="C1527">
        <v>2100300025</v>
      </c>
      <c r="D1527">
        <v>6326000</v>
      </c>
      <c r="E1527" t="s">
        <v>188</v>
      </c>
      <c r="F1527">
        <v>5105010133</v>
      </c>
      <c r="G1527" s="13">
        <v>4676.7</v>
      </c>
      <c r="I1527" t="s">
        <v>160</v>
      </c>
      <c r="J1527" t="s">
        <v>575</v>
      </c>
      <c r="K1527" t="s">
        <v>202</v>
      </c>
      <c r="L1527">
        <v>5500000219</v>
      </c>
      <c r="M1527" t="s">
        <v>766</v>
      </c>
    </row>
    <row r="1528" spans="3:13">
      <c r="C1528">
        <v>2100300025</v>
      </c>
      <c r="D1528">
        <v>6326000</v>
      </c>
      <c r="E1528" t="s">
        <v>188</v>
      </c>
      <c r="F1528">
        <v>5105010133</v>
      </c>
      <c r="G1528" s="13">
        <v>4224.12</v>
      </c>
      <c r="I1528" t="s">
        <v>160</v>
      </c>
      <c r="J1528" t="s">
        <v>577</v>
      </c>
      <c r="K1528" t="s">
        <v>202</v>
      </c>
      <c r="L1528">
        <v>5500000295</v>
      </c>
      <c r="M1528" t="s">
        <v>767</v>
      </c>
    </row>
    <row r="1529" spans="3:13">
      <c r="C1529">
        <v>2100300025</v>
      </c>
      <c r="D1529">
        <v>6326000</v>
      </c>
      <c r="E1529" t="s">
        <v>188</v>
      </c>
      <c r="F1529">
        <v>5105010133</v>
      </c>
      <c r="G1529" s="13">
        <v>4676.71</v>
      </c>
      <c r="I1529" t="s">
        <v>160</v>
      </c>
      <c r="J1529" t="s">
        <v>579</v>
      </c>
      <c r="K1529" t="s">
        <v>202</v>
      </c>
      <c r="L1529">
        <v>5500000370</v>
      </c>
      <c r="M1529" t="s">
        <v>768</v>
      </c>
    </row>
    <row r="1530" spans="3:13">
      <c r="C1530">
        <v>2100300025</v>
      </c>
      <c r="D1530">
        <v>6326000</v>
      </c>
      <c r="E1530" t="s">
        <v>188</v>
      </c>
      <c r="F1530">
        <v>5105010133</v>
      </c>
      <c r="G1530" s="13">
        <v>4525.84</v>
      </c>
      <c r="I1530" t="s">
        <v>160</v>
      </c>
      <c r="J1530" t="s">
        <v>581</v>
      </c>
      <c r="K1530" t="s">
        <v>202</v>
      </c>
      <c r="L1530">
        <v>5500000446</v>
      </c>
      <c r="M1530" t="s">
        <v>769</v>
      </c>
    </row>
    <row r="1531" spans="3:13">
      <c r="C1531">
        <v>2100300025</v>
      </c>
      <c r="D1531">
        <v>6326000</v>
      </c>
      <c r="E1531" t="s">
        <v>188</v>
      </c>
      <c r="F1531">
        <v>5105010133</v>
      </c>
      <c r="G1531" s="13">
        <v>4676.7</v>
      </c>
      <c r="I1531" t="s">
        <v>160</v>
      </c>
      <c r="J1531" t="s">
        <v>583</v>
      </c>
      <c r="K1531" t="s">
        <v>202</v>
      </c>
      <c r="L1531">
        <v>5500000523</v>
      </c>
      <c r="M1531" t="s">
        <v>770</v>
      </c>
    </row>
    <row r="1532" spans="3:13">
      <c r="C1532">
        <v>2100300025</v>
      </c>
      <c r="D1532">
        <v>6326000</v>
      </c>
      <c r="E1532" t="s">
        <v>188</v>
      </c>
      <c r="F1532">
        <v>5105010133</v>
      </c>
      <c r="G1532" s="13">
        <v>4525.84</v>
      </c>
      <c r="I1532" t="s">
        <v>160</v>
      </c>
      <c r="J1532" t="s">
        <v>585</v>
      </c>
      <c r="K1532" t="s">
        <v>202</v>
      </c>
      <c r="L1532">
        <v>5500000600</v>
      </c>
      <c r="M1532" t="s">
        <v>771</v>
      </c>
    </row>
    <row r="1533" spans="3:13">
      <c r="C1533">
        <v>2100300025</v>
      </c>
      <c r="D1533">
        <v>6326000</v>
      </c>
      <c r="E1533" t="s">
        <v>188</v>
      </c>
      <c r="F1533">
        <v>5105010133</v>
      </c>
      <c r="G1533" s="13">
        <v>4676.71</v>
      </c>
      <c r="I1533" t="s">
        <v>160</v>
      </c>
      <c r="J1533" t="s">
        <v>587</v>
      </c>
      <c r="K1533" t="s">
        <v>202</v>
      </c>
      <c r="L1533">
        <v>5500000677</v>
      </c>
      <c r="M1533" t="s">
        <v>772</v>
      </c>
    </row>
    <row r="1534" spans="3:13">
      <c r="C1534">
        <v>2100300025</v>
      </c>
      <c r="D1534">
        <v>6326000</v>
      </c>
      <c r="E1534" t="s">
        <v>188</v>
      </c>
      <c r="F1534">
        <v>5105010133</v>
      </c>
      <c r="G1534" s="13">
        <v>4676.7</v>
      </c>
      <c r="I1534" t="s">
        <v>160</v>
      </c>
      <c r="J1534" t="s">
        <v>589</v>
      </c>
      <c r="K1534" t="s">
        <v>202</v>
      </c>
      <c r="L1534">
        <v>5500000755</v>
      </c>
      <c r="M1534" t="s">
        <v>773</v>
      </c>
    </row>
    <row r="1535" spans="3:13">
      <c r="C1535">
        <v>2100300025</v>
      </c>
      <c r="D1535">
        <v>6326000</v>
      </c>
      <c r="E1535" t="s">
        <v>188</v>
      </c>
      <c r="F1535">
        <v>5105010133</v>
      </c>
      <c r="G1535" s="13">
        <v>4525.84</v>
      </c>
      <c r="I1535" t="s">
        <v>160</v>
      </c>
      <c r="J1535" t="s">
        <v>591</v>
      </c>
      <c r="K1535" t="s">
        <v>202</v>
      </c>
      <c r="L1535">
        <v>5500000831</v>
      </c>
      <c r="M1535" t="s">
        <v>774</v>
      </c>
    </row>
    <row r="1536" spans="3:13">
      <c r="C1536">
        <v>2100300025</v>
      </c>
      <c r="D1536">
        <v>6126000</v>
      </c>
      <c r="E1536" t="s">
        <v>188</v>
      </c>
      <c r="F1536">
        <v>5105010148</v>
      </c>
      <c r="G1536" s="13">
        <v>9358.9</v>
      </c>
      <c r="I1536" t="s">
        <v>160</v>
      </c>
      <c r="J1536" t="s">
        <v>571</v>
      </c>
      <c r="K1536" t="s">
        <v>173</v>
      </c>
      <c r="L1536">
        <v>5500000074</v>
      </c>
      <c r="M1536" t="s">
        <v>775</v>
      </c>
    </row>
    <row r="1537" spans="3:13">
      <c r="C1537">
        <v>2100300025</v>
      </c>
      <c r="D1537">
        <v>6126000</v>
      </c>
      <c r="E1537" t="s">
        <v>188</v>
      </c>
      <c r="F1537">
        <v>5105010148</v>
      </c>
      <c r="G1537" s="13">
        <v>4756.17</v>
      </c>
      <c r="I1537" t="s">
        <v>160</v>
      </c>
      <c r="J1537" t="s">
        <v>573</v>
      </c>
      <c r="K1537" t="s">
        <v>173</v>
      </c>
      <c r="L1537">
        <v>5500000147</v>
      </c>
      <c r="M1537" t="s">
        <v>776</v>
      </c>
    </row>
    <row r="1538" spans="3:13">
      <c r="C1538">
        <v>2100300025</v>
      </c>
      <c r="D1538">
        <v>6126000</v>
      </c>
      <c r="E1538" t="s">
        <v>188</v>
      </c>
      <c r="F1538">
        <v>5105010148</v>
      </c>
      <c r="G1538" s="13">
        <v>4756.17</v>
      </c>
      <c r="I1538" t="s">
        <v>160</v>
      </c>
      <c r="J1538" t="s">
        <v>575</v>
      </c>
      <c r="K1538" t="s">
        <v>173</v>
      </c>
      <c r="L1538">
        <v>5500000221</v>
      </c>
      <c r="M1538" t="s">
        <v>777</v>
      </c>
    </row>
    <row r="1539" spans="3:13">
      <c r="C1539">
        <v>2100300025</v>
      </c>
      <c r="D1539">
        <v>6126000</v>
      </c>
      <c r="E1539" t="s">
        <v>188</v>
      </c>
      <c r="F1539">
        <v>5105010148</v>
      </c>
      <c r="G1539" s="13">
        <v>4295.8900000000003</v>
      </c>
      <c r="I1539" t="s">
        <v>160</v>
      </c>
      <c r="J1539" t="s">
        <v>577</v>
      </c>
      <c r="K1539" t="s">
        <v>173</v>
      </c>
      <c r="L1539">
        <v>5500000296</v>
      </c>
      <c r="M1539" t="s">
        <v>778</v>
      </c>
    </row>
    <row r="1540" spans="3:13">
      <c r="C1540">
        <v>2100300025</v>
      </c>
      <c r="D1540">
        <v>6126000</v>
      </c>
      <c r="E1540" t="s">
        <v>188</v>
      </c>
      <c r="F1540">
        <v>5105010148</v>
      </c>
      <c r="G1540" s="13">
        <v>4756.16</v>
      </c>
      <c r="I1540" t="s">
        <v>160</v>
      </c>
      <c r="J1540" t="s">
        <v>579</v>
      </c>
      <c r="K1540" t="s">
        <v>173</v>
      </c>
      <c r="L1540">
        <v>5500000372</v>
      </c>
      <c r="M1540" t="s">
        <v>779</v>
      </c>
    </row>
    <row r="1541" spans="3:13">
      <c r="C1541">
        <v>2100300025</v>
      </c>
      <c r="D1541">
        <v>6126000</v>
      </c>
      <c r="E1541" t="s">
        <v>188</v>
      </c>
      <c r="F1541">
        <v>5105010148</v>
      </c>
      <c r="G1541" s="13">
        <v>4602.74</v>
      </c>
      <c r="I1541" t="s">
        <v>160</v>
      </c>
      <c r="J1541" t="s">
        <v>581</v>
      </c>
      <c r="K1541" t="s">
        <v>173</v>
      </c>
      <c r="L1541">
        <v>5500000448</v>
      </c>
      <c r="M1541" t="s">
        <v>780</v>
      </c>
    </row>
    <row r="1542" spans="3:13">
      <c r="C1542">
        <v>2100300025</v>
      </c>
      <c r="D1542">
        <v>6126000</v>
      </c>
      <c r="E1542" t="s">
        <v>188</v>
      </c>
      <c r="F1542">
        <v>5105010148</v>
      </c>
      <c r="G1542" s="13">
        <v>4756.17</v>
      </c>
      <c r="I1542" t="s">
        <v>160</v>
      </c>
      <c r="J1542" t="s">
        <v>583</v>
      </c>
      <c r="K1542" t="s">
        <v>173</v>
      </c>
      <c r="L1542">
        <v>5500000525</v>
      </c>
      <c r="M1542" t="s">
        <v>781</v>
      </c>
    </row>
    <row r="1543" spans="3:13">
      <c r="C1543">
        <v>2100300025</v>
      </c>
      <c r="D1543">
        <v>6126000</v>
      </c>
      <c r="E1543" t="s">
        <v>188</v>
      </c>
      <c r="F1543">
        <v>5105010148</v>
      </c>
      <c r="G1543" s="13">
        <v>3681.19</v>
      </c>
      <c r="I1543" t="s">
        <v>160</v>
      </c>
      <c r="J1543" t="s">
        <v>585</v>
      </c>
      <c r="K1543" t="s">
        <v>173</v>
      </c>
      <c r="L1543">
        <v>5500000602</v>
      </c>
      <c r="M1543" t="s">
        <v>782</v>
      </c>
    </row>
    <row r="1544" spans="3:13">
      <c r="C1544">
        <v>2100300025</v>
      </c>
      <c r="D1544">
        <v>6126000</v>
      </c>
      <c r="E1544" t="s">
        <v>188</v>
      </c>
      <c r="F1544">
        <v>5105010148</v>
      </c>
      <c r="G1544" s="13">
        <v>2378.09</v>
      </c>
      <c r="I1544" t="s">
        <v>160</v>
      </c>
      <c r="J1544" t="s">
        <v>587</v>
      </c>
      <c r="K1544" t="s">
        <v>173</v>
      </c>
      <c r="L1544">
        <v>5500000679</v>
      </c>
      <c r="M1544" t="s">
        <v>783</v>
      </c>
    </row>
    <row r="1545" spans="3:13">
      <c r="C1545">
        <v>2100300025</v>
      </c>
      <c r="D1545">
        <v>6126000</v>
      </c>
      <c r="E1545" t="s">
        <v>188</v>
      </c>
      <c r="F1545">
        <v>5105010148</v>
      </c>
      <c r="G1545" s="13">
        <v>1226.3900000000001</v>
      </c>
      <c r="I1545" t="s">
        <v>160</v>
      </c>
      <c r="J1545" t="s">
        <v>589</v>
      </c>
      <c r="K1545" t="s">
        <v>173</v>
      </c>
      <c r="L1545">
        <v>5500000756</v>
      </c>
      <c r="M1545" t="s">
        <v>784</v>
      </c>
    </row>
    <row r="1546" spans="3:13">
      <c r="C1546">
        <v>2100300025</v>
      </c>
      <c r="D1546">
        <v>6111310</v>
      </c>
      <c r="E1546" t="s">
        <v>199</v>
      </c>
      <c r="F1546">
        <v>5105010148</v>
      </c>
      <c r="G1546" s="13">
        <v>318926.94</v>
      </c>
      <c r="I1546" t="s">
        <v>160</v>
      </c>
      <c r="J1546" t="s">
        <v>571</v>
      </c>
      <c r="K1546" t="s">
        <v>173</v>
      </c>
      <c r="L1546">
        <v>5500000074</v>
      </c>
      <c r="M1546" t="s">
        <v>775</v>
      </c>
    </row>
    <row r="1547" spans="3:13">
      <c r="C1547">
        <v>2100300025</v>
      </c>
      <c r="D1547">
        <v>6111310</v>
      </c>
      <c r="E1547" t="s">
        <v>199</v>
      </c>
      <c r="F1547">
        <v>5105010148</v>
      </c>
      <c r="G1547" s="13">
        <v>162077.63</v>
      </c>
      <c r="I1547" t="s">
        <v>160</v>
      </c>
      <c r="J1547" t="s">
        <v>573</v>
      </c>
      <c r="K1547" t="s">
        <v>173</v>
      </c>
      <c r="L1547">
        <v>5500000147</v>
      </c>
      <c r="M1547" t="s">
        <v>776</v>
      </c>
    </row>
    <row r="1548" spans="3:13">
      <c r="C1548">
        <v>2100300025</v>
      </c>
      <c r="D1548">
        <v>6111310</v>
      </c>
      <c r="E1548" t="s">
        <v>199</v>
      </c>
      <c r="F1548">
        <v>5105010148</v>
      </c>
      <c r="G1548" s="13">
        <v>162077.62</v>
      </c>
      <c r="I1548" t="s">
        <v>160</v>
      </c>
      <c r="J1548" t="s">
        <v>575</v>
      </c>
      <c r="K1548" t="s">
        <v>173</v>
      </c>
      <c r="L1548">
        <v>5500000221</v>
      </c>
      <c r="M1548" t="s">
        <v>777</v>
      </c>
    </row>
    <row r="1549" spans="3:13">
      <c r="C1549">
        <v>2100300025</v>
      </c>
      <c r="D1549">
        <v>6111310</v>
      </c>
      <c r="E1549" t="s">
        <v>199</v>
      </c>
      <c r="F1549">
        <v>5105010148</v>
      </c>
      <c r="G1549" s="13">
        <v>146392.70000000001</v>
      </c>
      <c r="I1549" t="s">
        <v>160</v>
      </c>
      <c r="J1549" t="s">
        <v>577</v>
      </c>
      <c r="K1549" t="s">
        <v>173</v>
      </c>
      <c r="L1549">
        <v>5500000296</v>
      </c>
      <c r="M1549" t="s">
        <v>778</v>
      </c>
    </row>
    <row r="1550" spans="3:13">
      <c r="C1550">
        <v>2100300025</v>
      </c>
      <c r="D1550">
        <v>6111310</v>
      </c>
      <c r="E1550" t="s">
        <v>199</v>
      </c>
      <c r="F1550">
        <v>5105010148</v>
      </c>
      <c r="G1550" s="13">
        <v>162077.62</v>
      </c>
      <c r="I1550" t="s">
        <v>160</v>
      </c>
      <c r="J1550" t="s">
        <v>579</v>
      </c>
      <c r="K1550" t="s">
        <v>173</v>
      </c>
      <c r="L1550">
        <v>5500000372</v>
      </c>
      <c r="M1550" t="s">
        <v>779</v>
      </c>
    </row>
    <row r="1551" spans="3:13">
      <c r="C1551">
        <v>2100300025</v>
      </c>
      <c r="D1551">
        <v>6111310</v>
      </c>
      <c r="E1551" t="s">
        <v>199</v>
      </c>
      <c r="F1551">
        <v>5105010148</v>
      </c>
      <c r="G1551" s="13">
        <v>47053.8</v>
      </c>
      <c r="I1551" t="s">
        <v>160</v>
      </c>
      <c r="J1551" t="s">
        <v>581</v>
      </c>
      <c r="K1551" t="s">
        <v>173</v>
      </c>
      <c r="L1551">
        <v>5500000448</v>
      </c>
      <c r="M1551" t="s">
        <v>780</v>
      </c>
    </row>
    <row r="1552" spans="3:13">
      <c r="C1552">
        <v>2100300025</v>
      </c>
      <c r="D1552">
        <v>6226000</v>
      </c>
      <c r="E1552" t="s">
        <v>188</v>
      </c>
      <c r="F1552">
        <v>5105010148</v>
      </c>
      <c r="G1552" s="13">
        <v>281324.19</v>
      </c>
      <c r="I1552" t="s">
        <v>160</v>
      </c>
      <c r="J1552" t="s">
        <v>571</v>
      </c>
      <c r="K1552" t="s">
        <v>173</v>
      </c>
      <c r="L1552">
        <v>5500000074</v>
      </c>
      <c r="M1552" t="s">
        <v>775</v>
      </c>
    </row>
    <row r="1553" spans="3:13">
      <c r="C1553">
        <v>2100300025</v>
      </c>
      <c r="D1553">
        <v>6226000</v>
      </c>
      <c r="E1553" t="s">
        <v>188</v>
      </c>
      <c r="F1553">
        <v>5105010148</v>
      </c>
      <c r="G1553" s="13">
        <v>142968.06</v>
      </c>
      <c r="I1553" t="s">
        <v>160</v>
      </c>
      <c r="J1553" t="s">
        <v>573</v>
      </c>
      <c r="K1553" t="s">
        <v>173</v>
      </c>
      <c r="L1553">
        <v>5500000147</v>
      </c>
      <c r="M1553" t="s">
        <v>776</v>
      </c>
    </row>
    <row r="1554" spans="3:13">
      <c r="C1554">
        <v>2100300025</v>
      </c>
      <c r="D1554">
        <v>6226000</v>
      </c>
      <c r="E1554" t="s">
        <v>188</v>
      </c>
      <c r="F1554">
        <v>5105010148</v>
      </c>
      <c r="G1554" s="13">
        <v>142968.01</v>
      </c>
      <c r="I1554" t="s">
        <v>160</v>
      </c>
      <c r="J1554" t="s">
        <v>575</v>
      </c>
      <c r="K1554" t="s">
        <v>173</v>
      </c>
      <c r="L1554">
        <v>5500000221</v>
      </c>
      <c r="M1554" t="s">
        <v>777</v>
      </c>
    </row>
    <row r="1555" spans="3:13">
      <c r="C1555">
        <v>2100300025</v>
      </c>
      <c r="D1555">
        <v>6226000</v>
      </c>
      <c r="E1555" t="s">
        <v>188</v>
      </c>
      <c r="F1555">
        <v>5105010148</v>
      </c>
      <c r="G1555" s="13">
        <v>129132.45</v>
      </c>
      <c r="I1555" t="s">
        <v>160</v>
      </c>
      <c r="J1555" t="s">
        <v>577</v>
      </c>
      <c r="K1555" t="s">
        <v>173</v>
      </c>
      <c r="L1555">
        <v>5500000296</v>
      </c>
      <c r="M1555" t="s">
        <v>778</v>
      </c>
    </row>
    <row r="1556" spans="3:13">
      <c r="C1556">
        <v>2100300025</v>
      </c>
      <c r="D1556">
        <v>6226000</v>
      </c>
      <c r="E1556" t="s">
        <v>188</v>
      </c>
      <c r="F1556">
        <v>5105010148</v>
      </c>
      <c r="G1556" s="13">
        <v>142968.01</v>
      </c>
      <c r="I1556" t="s">
        <v>160</v>
      </c>
      <c r="J1556" t="s">
        <v>579</v>
      </c>
      <c r="K1556" t="s">
        <v>173</v>
      </c>
      <c r="L1556">
        <v>5500000372</v>
      </c>
      <c r="M1556" t="s">
        <v>779</v>
      </c>
    </row>
    <row r="1557" spans="3:13">
      <c r="C1557">
        <v>2100300025</v>
      </c>
      <c r="D1557">
        <v>6226000</v>
      </c>
      <c r="E1557" t="s">
        <v>188</v>
      </c>
      <c r="F1557">
        <v>5105010148</v>
      </c>
      <c r="G1557" s="13">
        <v>138356.18</v>
      </c>
      <c r="I1557" t="s">
        <v>160</v>
      </c>
      <c r="J1557" t="s">
        <v>581</v>
      </c>
      <c r="K1557" t="s">
        <v>173</v>
      </c>
      <c r="L1557">
        <v>5500000448</v>
      </c>
      <c r="M1557" t="s">
        <v>780</v>
      </c>
    </row>
    <row r="1558" spans="3:13">
      <c r="C1558">
        <v>2100300025</v>
      </c>
      <c r="D1558">
        <v>6226000</v>
      </c>
      <c r="E1558" t="s">
        <v>188</v>
      </c>
      <c r="F1558">
        <v>5105010148</v>
      </c>
      <c r="G1558" s="13">
        <v>142968.01</v>
      </c>
      <c r="I1558" t="s">
        <v>160</v>
      </c>
      <c r="J1558" t="s">
        <v>583</v>
      </c>
      <c r="K1558" t="s">
        <v>173</v>
      </c>
      <c r="L1558">
        <v>5500000525</v>
      </c>
      <c r="M1558" t="s">
        <v>781</v>
      </c>
    </row>
    <row r="1559" spans="3:13">
      <c r="C1559">
        <v>2100300025</v>
      </c>
      <c r="D1559">
        <v>6226000</v>
      </c>
      <c r="E1559" t="s">
        <v>188</v>
      </c>
      <c r="F1559">
        <v>5105010148</v>
      </c>
      <c r="G1559" s="13">
        <v>138356.17000000001</v>
      </c>
      <c r="I1559" t="s">
        <v>160</v>
      </c>
      <c r="J1559" t="s">
        <v>585</v>
      </c>
      <c r="K1559" t="s">
        <v>173</v>
      </c>
      <c r="L1559">
        <v>5500000602</v>
      </c>
      <c r="M1559" t="s">
        <v>782</v>
      </c>
    </row>
    <row r="1560" spans="3:13">
      <c r="C1560">
        <v>2100300025</v>
      </c>
      <c r="D1560">
        <v>6226000</v>
      </c>
      <c r="E1560" t="s">
        <v>188</v>
      </c>
      <c r="F1560">
        <v>5105010148</v>
      </c>
      <c r="G1560" s="13">
        <v>142968.06</v>
      </c>
      <c r="I1560" t="s">
        <v>160</v>
      </c>
      <c r="J1560" t="s">
        <v>587</v>
      </c>
      <c r="K1560" t="s">
        <v>173</v>
      </c>
      <c r="L1560">
        <v>5500000679</v>
      </c>
      <c r="M1560" t="s">
        <v>783</v>
      </c>
    </row>
    <row r="1561" spans="3:13">
      <c r="C1561">
        <v>2100300025</v>
      </c>
      <c r="D1561">
        <v>6226000</v>
      </c>
      <c r="E1561" t="s">
        <v>188</v>
      </c>
      <c r="F1561">
        <v>5105010148</v>
      </c>
      <c r="G1561" s="13">
        <v>142968.01</v>
      </c>
      <c r="I1561" t="s">
        <v>160</v>
      </c>
      <c r="J1561" t="s">
        <v>589</v>
      </c>
      <c r="K1561" t="s">
        <v>173</v>
      </c>
      <c r="L1561">
        <v>5500000756</v>
      </c>
      <c r="M1561" t="s">
        <v>784</v>
      </c>
    </row>
    <row r="1562" spans="3:13">
      <c r="C1562">
        <v>2100300025</v>
      </c>
      <c r="D1562">
        <v>6226000</v>
      </c>
      <c r="E1562" t="s">
        <v>188</v>
      </c>
      <c r="F1562">
        <v>5105010148</v>
      </c>
      <c r="G1562" s="13">
        <v>138356.18</v>
      </c>
      <c r="I1562" t="s">
        <v>160</v>
      </c>
      <c r="J1562" t="s">
        <v>591</v>
      </c>
      <c r="K1562" t="s">
        <v>173</v>
      </c>
      <c r="L1562">
        <v>5500000833</v>
      </c>
      <c r="M1562" t="s">
        <v>785</v>
      </c>
    </row>
    <row r="1563" spans="3:13">
      <c r="C1563">
        <v>2100300025</v>
      </c>
      <c r="D1563">
        <v>6326000</v>
      </c>
      <c r="E1563" t="s">
        <v>188</v>
      </c>
      <c r="F1563">
        <v>5105010148</v>
      </c>
      <c r="G1563" s="13">
        <v>1058.6500000000001</v>
      </c>
      <c r="I1563" t="s">
        <v>160</v>
      </c>
      <c r="J1563" t="s">
        <v>571</v>
      </c>
      <c r="K1563" t="s">
        <v>173</v>
      </c>
      <c r="L1563">
        <v>5500000074</v>
      </c>
      <c r="M1563" t="s">
        <v>775</v>
      </c>
    </row>
    <row r="1564" spans="3:13">
      <c r="C1564">
        <v>2100300025</v>
      </c>
      <c r="D1564">
        <v>6326000</v>
      </c>
      <c r="E1564" t="s">
        <v>188</v>
      </c>
      <c r="F1564">
        <v>5105010148</v>
      </c>
      <c r="G1564">
        <v>538.04999999999995</v>
      </c>
      <c r="I1564" t="s">
        <v>160</v>
      </c>
      <c r="J1564" t="s">
        <v>573</v>
      </c>
      <c r="K1564" t="s">
        <v>173</v>
      </c>
      <c r="L1564">
        <v>5500000147</v>
      </c>
      <c r="M1564" t="s">
        <v>776</v>
      </c>
    </row>
    <row r="1565" spans="3:13">
      <c r="C1565">
        <v>2100300025</v>
      </c>
      <c r="D1565">
        <v>6326000</v>
      </c>
      <c r="E1565" t="s">
        <v>188</v>
      </c>
      <c r="F1565">
        <v>5105010148</v>
      </c>
      <c r="G1565">
        <v>538</v>
      </c>
      <c r="I1565" t="s">
        <v>160</v>
      </c>
      <c r="J1565" t="s">
        <v>575</v>
      </c>
      <c r="K1565" t="s">
        <v>173</v>
      </c>
      <c r="L1565">
        <v>5500000221</v>
      </c>
      <c r="M1565" t="s">
        <v>777</v>
      </c>
    </row>
    <row r="1566" spans="3:13">
      <c r="C1566">
        <v>2100300025</v>
      </c>
      <c r="D1566">
        <v>6326000</v>
      </c>
      <c r="E1566" t="s">
        <v>188</v>
      </c>
      <c r="F1566">
        <v>5105010148</v>
      </c>
      <c r="G1566">
        <v>485.95</v>
      </c>
      <c r="I1566" t="s">
        <v>160</v>
      </c>
      <c r="J1566" t="s">
        <v>577</v>
      </c>
      <c r="K1566" t="s">
        <v>173</v>
      </c>
      <c r="L1566">
        <v>5500000296</v>
      </c>
      <c r="M1566" t="s">
        <v>778</v>
      </c>
    </row>
    <row r="1567" spans="3:13">
      <c r="C1567">
        <v>2100300025</v>
      </c>
      <c r="D1567">
        <v>6326000</v>
      </c>
      <c r="E1567" t="s">
        <v>188</v>
      </c>
      <c r="F1567">
        <v>5105010148</v>
      </c>
      <c r="G1567">
        <v>538</v>
      </c>
      <c r="I1567" t="s">
        <v>160</v>
      </c>
      <c r="J1567" t="s">
        <v>579</v>
      </c>
      <c r="K1567" t="s">
        <v>173</v>
      </c>
      <c r="L1567">
        <v>5500000372</v>
      </c>
      <c r="M1567" t="s">
        <v>779</v>
      </c>
    </row>
    <row r="1568" spans="3:13">
      <c r="C1568">
        <v>2100300025</v>
      </c>
      <c r="D1568">
        <v>6326000</v>
      </c>
      <c r="E1568" t="s">
        <v>188</v>
      </c>
      <c r="F1568">
        <v>5105010148</v>
      </c>
      <c r="G1568">
        <v>520.65</v>
      </c>
      <c r="I1568" t="s">
        <v>160</v>
      </c>
      <c r="J1568" t="s">
        <v>581</v>
      </c>
      <c r="K1568" t="s">
        <v>173</v>
      </c>
      <c r="L1568">
        <v>5500000448</v>
      </c>
      <c r="M1568" t="s">
        <v>780</v>
      </c>
    </row>
    <row r="1569" spans="3:13">
      <c r="C1569">
        <v>2100300025</v>
      </c>
      <c r="D1569">
        <v>6326000</v>
      </c>
      <c r="E1569" t="s">
        <v>188</v>
      </c>
      <c r="F1569">
        <v>5105010148</v>
      </c>
      <c r="G1569">
        <v>538</v>
      </c>
      <c r="I1569" t="s">
        <v>160</v>
      </c>
      <c r="J1569" t="s">
        <v>583</v>
      </c>
      <c r="K1569" t="s">
        <v>173</v>
      </c>
      <c r="L1569">
        <v>5500000525</v>
      </c>
      <c r="M1569" t="s">
        <v>781</v>
      </c>
    </row>
    <row r="1570" spans="3:13">
      <c r="C1570">
        <v>2100300025</v>
      </c>
      <c r="D1570">
        <v>6326000</v>
      </c>
      <c r="E1570" t="s">
        <v>188</v>
      </c>
      <c r="F1570">
        <v>5105010148</v>
      </c>
      <c r="G1570">
        <v>520.65</v>
      </c>
      <c r="I1570" t="s">
        <v>160</v>
      </c>
      <c r="J1570" t="s">
        <v>585</v>
      </c>
      <c r="K1570" t="s">
        <v>173</v>
      </c>
      <c r="L1570">
        <v>5500000602</v>
      </c>
      <c r="M1570" t="s">
        <v>782</v>
      </c>
    </row>
    <row r="1571" spans="3:13">
      <c r="C1571">
        <v>2100300025</v>
      </c>
      <c r="D1571">
        <v>6326000</v>
      </c>
      <c r="E1571" t="s">
        <v>188</v>
      </c>
      <c r="F1571">
        <v>5105010148</v>
      </c>
      <c r="G1571">
        <v>538.04999999999995</v>
      </c>
      <c r="I1571" t="s">
        <v>160</v>
      </c>
      <c r="J1571" t="s">
        <v>587</v>
      </c>
      <c r="K1571" t="s">
        <v>173</v>
      </c>
      <c r="L1571">
        <v>5500000679</v>
      </c>
      <c r="M1571" t="s">
        <v>783</v>
      </c>
    </row>
    <row r="1572" spans="3:13">
      <c r="C1572">
        <v>2100300025</v>
      </c>
      <c r="D1572">
        <v>6326000</v>
      </c>
      <c r="E1572" t="s">
        <v>188</v>
      </c>
      <c r="F1572">
        <v>5105010148</v>
      </c>
      <c r="G1572">
        <v>538</v>
      </c>
      <c r="I1572" t="s">
        <v>160</v>
      </c>
      <c r="J1572" t="s">
        <v>589</v>
      </c>
      <c r="K1572" t="s">
        <v>173</v>
      </c>
      <c r="L1572">
        <v>5500000756</v>
      </c>
      <c r="M1572" t="s">
        <v>784</v>
      </c>
    </row>
    <row r="1573" spans="3:13">
      <c r="C1573">
        <v>2100300025</v>
      </c>
      <c r="D1573">
        <v>6326000</v>
      </c>
      <c r="E1573" t="s">
        <v>188</v>
      </c>
      <c r="F1573">
        <v>5105010148</v>
      </c>
      <c r="G1573">
        <v>520.65</v>
      </c>
      <c r="I1573" t="s">
        <v>160</v>
      </c>
      <c r="J1573" t="s">
        <v>591</v>
      </c>
      <c r="K1573" t="s">
        <v>173</v>
      </c>
      <c r="L1573">
        <v>5500000833</v>
      </c>
      <c r="M1573" t="s">
        <v>785</v>
      </c>
    </row>
    <row r="1574" spans="3:13">
      <c r="C1574">
        <v>2100300025</v>
      </c>
      <c r="D1574">
        <v>6426000</v>
      </c>
      <c r="E1574" t="s">
        <v>188</v>
      </c>
      <c r="F1574">
        <v>5105010148</v>
      </c>
      <c r="G1574" s="13">
        <v>43105.02</v>
      </c>
      <c r="I1574" t="s">
        <v>160</v>
      </c>
      <c r="J1574" t="s">
        <v>573</v>
      </c>
      <c r="K1574" t="s">
        <v>173</v>
      </c>
      <c r="L1574">
        <v>5500000147</v>
      </c>
      <c r="M1574" t="s">
        <v>776</v>
      </c>
    </row>
    <row r="1575" spans="3:13">
      <c r="C1575">
        <v>2100300025</v>
      </c>
      <c r="D1575">
        <v>6426000</v>
      </c>
      <c r="E1575" t="s">
        <v>188</v>
      </c>
      <c r="F1575">
        <v>5105010148</v>
      </c>
      <c r="G1575" s="13">
        <v>22648.41</v>
      </c>
      <c r="I1575" t="s">
        <v>160</v>
      </c>
      <c r="J1575" t="s">
        <v>575</v>
      </c>
      <c r="K1575" t="s">
        <v>173</v>
      </c>
      <c r="L1575">
        <v>5500000221</v>
      </c>
      <c r="M1575" t="s">
        <v>777</v>
      </c>
    </row>
    <row r="1576" spans="3:13">
      <c r="C1576">
        <v>2100300025</v>
      </c>
      <c r="D1576">
        <v>6426000</v>
      </c>
      <c r="E1576" t="s">
        <v>188</v>
      </c>
      <c r="F1576">
        <v>5105010148</v>
      </c>
      <c r="G1576" s="13">
        <v>20456.62</v>
      </c>
      <c r="I1576" t="s">
        <v>160</v>
      </c>
      <c r="J1576" t="s">
        <v>577</v>
      </c>
      <c r="K1576" t="s">
        <v>173</v>
      </c>
      <c r="L1576">
        <v>5500000297</v>
      </c>
      <c r="M1576" t="s">
        <v>786</v>
      </c>
    </row>
    <row r="1577" spans="3:13">
      <c r="C1577">
        <v>2100300025</v>
      </c>
      <c r="D1577">
        <v>6426000</v>
      </c>
      <c r="E1577" t="s">
        <v>188</v>
      </c>
      <c r="F1577">
        <v>5105010148</v>
      </c>
      <c r="G1577" s="13">
        <v>22648.400000000001</v>
      </c>
      <c r="I1577" t="s">
        <v>160</v>
      </c>
      <c r="J1577" t="s">
        <v>579</v>
      </c>
      <c r="K1577" t="s">
        <v>173</v>
      </c>
      <c r="L1577">
        <v>5500000372</v>
      </c>
      <c r="M1577" t="s">
        <v>779</v>
      </c>
    </row>
    <row r="1578" spans="3:13">
      <c r="C1578">
        <v>2100300025</v>
      </c>
      <c r="D1578">
        <v>6426000</v>
      </c>
      <c r="E1578" t="s">
        <v>188</v>
      </c>
      <c r="F1578">
        <v>5105010148</v>
      </c>
      <c r="G1578" s="13">
        <v>21917.81</v>
      </c>
      <c r="I1578" t="s">
        <v>160</v>
      </c>
      <c r="J1578" t="s">
        <v>581</v>
      </c>
      <c r="K1578" t="s">
        <v>173</v>
      </c>
      <c r="L1578">
        <v>5500000448</v>
      </c>
      <c r="M1578" t="s">
        <v>780</v>
      </c>
    </row>
    <row r="1579" spans="3:13">
      <c r="C1579">
        <v>2100300025</v>
      </c>
      <c r="D1579">
        <v>6426000</v>
      </c>
      <c r="E1579" t="s">
        <v>188</v>
      </c>
      <c r="F1579">
        <v>5105010148</v>
      </c>
      <c r="G1579" s="13">
        <v>22648.400000000001</v>
      </c>
      <c r="I1579" t="s">
        <v>160</v>
      </c>
      <c r="J1579" t="s">
        <v>583</v>
      </c>
      <c r="K1579" t="s">
        <v>173</v>
      </c>
      <c r="L1579">
        <v>5500000525</v>
      </c>
      <c r="M1579" t="s">
        <v>781</v>
      </c>
    </row>
    <row r="1580" spans="3:13">
      <c r="C1580">
        <v>2100300025</v>
      </c>
      <c r="D1580">
        <v>6426000</v>
      </c>
      <c r="E1580" t="s">
        <v>188</v>
      </c>
      <c r="F1580">
        <v>5105010148</v>
      </c>
      <c r="G1580" s="13">
        <v>21917.81</v>
      </c>
      <c r="I1580" t="s">
        <v>160</v>
      </c>
      <c r="J1580" t="s">
        <v>585</v>
      </c>
      <c r="K1580" t="s">
        <v>173</v>
      </c>
      <c r="L1580">
        <v>5500000602</v>
      </c>
      <c r="M1580" t="s">
        <v>782</v>
      </c>
    </row>
    <row r="1581" spans="3:13">
      <c r="C1581">
        <v>2100300025</v>
      </c>
      <c r="D1581">
        <v>6426000</v>
      </c>
      <c r="E1581" t="s">
        <v>188</v>
      </c>
      <c r="F1581">
        <v>5105010148</v>
      </c>
      <c r="G1581" s="13">
        <v>140657.53</v>
      </c>
      <c r="I1581" t="s">
        <v>160</v>
      </c>
      <c r="J1581" t="s">
        <v>587</v>
      </c>
      <c r="K1581" t="s">
        <v>173</v>
      </c>
      <c r="L1581">
        <v>5500000679</v>
      </c>
      <c r="M1581" t="s">
        <v>783</v>
      </c>
    </row>
    <row r="1582" spans="3:13">
      <c r="C1582">
        <v>2100300025</v>
      </c>
      <c r="D1582">
        <v>6426000</v>
      </c>
      <c r="E1582" t="s">
        <v>188</v>
      </c>
      <c r="F1582">
        <v>5105010148</v>
      </c>
      <c r="G1582" s="13">
        <v>163351.6</v>
      </c>
      <c r="I1582" t="s">
        <v>160</v>
      </c>
      <c r="J1582" t="s">
        <v>589</v>
      </c>
      <c r="K1582" t="s">
        <v>173</v>
      </c>
      <c r="L1582">
        <v>5500000756</v>
      </c>
      <c r="M1582" t="s">
        <v>784</v>
      </c>
    </row>
    <row r="1583" spans="3:13">
      <c r="C1583">
        <v>2100300025</v>
      </c>
      <c r="D1583">
        <v>6426000</v>
      </c>
      <c r="E1583" t="s">
        <v>188</v>
      </c>
      <c r="F1583">
        <v>5105010148</v>
      </c>
      <c r="G1583" s="13">
        <v>158082.19</v>
      </c>
      <c r="I1583" t="s">
        <v>160</v>
      </c>
      <c r="J1583" t="s">
        <v>591</v>
      </c>
      <c r="K1583" t="s">
        <v>173</v>
      </c>
      <c r="L1583">
        <v>5500000833</v>
      </c>
      <c r="M1583" t="s">
        <v>785</v>
      </c>
    </row>
    <row r="1584" spans="3:13">
      <c r="C1584">
        <v>2100300025</v>
      </c>
      <c r="D1584">
        <v>6410210</v>
      </c>
      <c r="E1584">
        <v>90909520000000</v>
      </c>
      <c r="F1584">
        <v>5301010101</v>
      </c>
      <c r="G1584" s="13">
        <v>-2100</v>
      </c>
      <c r="I1584" t="s">
        <v>525</v>
      </c>
      <c r="J1584" t="s">
        <v>787</v>
      </c>
      <c r="K1584" t="s">
        <v>218</v>
      </c>
      <c r="L1584">
        <v>9700000105</v>
      </c>
    </row>
    <row r="1585" spans="3:13">
      <c r="C1585">
        <v>2100300025</v>
      </c>
      <c r="D1585">
        <v>6410210</v>
      </c>
      <c r="E1585">
        <v>90909520000000</v>
      </c>
      <c r="F1585">
        <v>5301010101</v>
      </c>
      <c r="G1585" s="13">
        <v>2100</v>
      </c>
      <c r="I1585" t="s">
        <v>525</v>
      </c>
      <c r="J1585" t="s">
        <v>787</v>
      </c>
      <c r="K1585" t="s">
        <v>218</v>
      </c>
      <c r="L1585">
        <v>9700000105</v>
      </c>
    </row>
    <row r="1586" spans="3:13">
      <c r="C1586">
        <v>2100300025</v>
      </c>
      <c r="D1586">
        <v>6410210</v>
      </c>
      <c r="E1586">
        <v>90909520000000</v>
      </c>
      <c r="F1586">
        <v>5301010103</v>
      </c>
      <c r="G1586" s="13">
        <v>-2100</v>
      </c>
      <c r="I1586" t="s">
        <v>525</v>
      </c>
      <c r="J1586" t="s">
        <v>787</v>
      </c>
      <c r="K1586" t="s">
        <v>516</v>
      </c>
      <c r="L1586">
        <v>9700000105</v>
      </c>
    </row>
    <row r="1587" spans="3:13">
      <c r="C1587">
        <v>2100300025</v>
      </c>
      <c r="D1587">
        <v>6410210</v>
      </c>
      <c r="E1587">
        <v>90909520000000</v>
      </c>
      <c r="F1587">
        <v>5301010103</v>
      </c>
      <c r="G1587" s="13">
        <v>2100</v>
      </c>
      <c r="I1587" t="s">
        <v>525</v>
      </c>
      <c r="J1587" t="s">
        <v>787</v>
      </c>
      <c r="K1587" t="s">
        <v>516</v>
      </c>
      <c r="L1587">
        <v>9700000105</v>
      </c>
      <c r="M1587" t="s">
        <v>788</v>
      </c>
    </row>
    <row r="1588" spans="3:13">
      <c r="C1588">
        <v>2100300025</v>
      </c>
      <c r="D1588">
        <v>6411240</v>
      </c>
      <c r="E1588" t="s">
        <v>519</v>
      </c>
      <c r="F1588">
        <v>5301010101</v>
      </c>
      <c r="G1588" s="13">
        <v>38881</v>
      </c>
      <c r="H1588" t="s">
        <v>520</v>
      </c>
      <c r="I1588" t="s">
        <v>525</v>
      </c>
      <c r="J1588" t="s">
        <v>789</v>
      </c>
      <c r="K1588" t="s">
        <v>218</v>
      </c>
      <c r="L1588">
        <v>9700000006</v>
      </c>
    </row>
    <row r="1589" spans="3:13">
      <c r="C1589">
        <v>2100300025</v>
      </c>
      <c r="D1589">
        <v>6411210</v>
      </c>
      <c r="E1589" t="s">
        <v>517</v>
      </c>
      <c r="F1589">
        <v>5301010101</v>
      </c>
      <c r="G1589" s="13">
        <v>386000</v>
      </c>
      <c r="H1589" t="s">
        <v>518</v>
      </c>
      <c r="I1589" t="s">
        <v>525</v>
      </c>
      <c r="J1589" t="s">
        <v>789</v>
      </c>
      <c r="K1589" t="s">
        <v>218</v>
      </c>
      <c r="L1589">
        <v>9700000013</v>
      </c>
    </row>
    <row r="1590" spans="3:13">
      <c r="C1590">
        <v>2100300025</v>
      </c>
      <c r="D1590">
        <v>6411240</v>
      </c>
      <c r="E1590" t="s">
        <v>790</v>
      </c>
      <c r="F1590">
        <v>5301010101</v>
      </c>
      <c r="G1590" s="13">
        <v>-38881</v>
      </c>
      <c r="H1590" t="s">
        <v>791</v>
      </c>
      <c r="I1590" t="s">
        <v>525</v>
      </c>
      <c r="J1590" t="s">
        <v>789</v>
      </c>
      <c r="K1590" t="s">
        <v>218</v>
      </c>
      <c r="L1590">
        <v>9700000006</v>
      </c>
    </row>
    <row r="1591" spans="3:13">
      <c r="C1591">
        <v>2100300025</v>
      </c>
      <c r="D1591">
        <v>6411210</v>
      </c>
      <c r="E1591" t="s">
        <v>792</v>
      </c>
      <c r="F1591">
        <v>5301010101</v>
      </c>
      <c r="G1591" s="13">
        <v>-386000</v>
      </c>
      <c r="H1591" t="s">
        <v>793</v>
      </c>
      <c r="I1591" t="s">
        <v>525</v>
      </c>
      <c r="J1591" t="s">
        <v>789</v>
      </c>
      <c r="K1591" t="s">
        <v>218</v>
      </c>
      <c r="L1591">
        <v>9700000013</v>
      </c>
    </row>
    <row r="1592" spans="3:13">
      <c r="C1592">
        <v>2100300025</v>
      </c>
      <c r="D1592">
        <v>6411240</v>
      </c>
      <c r="E1592" t="s">
        <v>519</v>
      </c>
      <c r="F1592">
        <v>5301010103</v>
      </c>
      <c r="G1592" s="13">
        <v>-38881</v>
      </c>
      <c r="H1592" t="s">
        <v>520</v>
      </c>
      <c r="I1592" t="s">
        <v>525</v>
      </c>
      <c r="J1592" t="s">
        <v>789</v>
      </c>
      <c r="K1592" t="s">
        <v>516</v>
      </c>
      <c r="L1592">
        <v>9700000006</v>
      </c>
    </row>
    <row r="1593" spans="3:13">
      <c r="C1593">
        <v>2100300025</v>
      </c>
      <c r="D1593">
        <v>6411210</v>
      </c>
      <c r="E1593" t="s">
        <v>517</v>
      </c>
      <c r="F1593">
        <v>5301010103</v>
      </c>
      <c r="G1593" s="13">
        <v>-386000</v>
      </c>
      <c r="H1593" t="s">
        <v>518</v>
      </c>
      <c r="I1593" t="s">
        <v>525</v>
      </c>
      <c r="J1593" t="s">
        <v>789</v>
      </c>
      <c r="K1593" t="s">
        <v>516</v>
      </c>
      <c r="L1593">
        <v>9700000013</v>
      </c>
    </row>
    <row r="1594" spans="3:13">
      <c r="C1594">
        <v>2100300025</v>
      </c>
      <c r="D1594">
        <v>6411240</v>
      </c>
      <c r="E1594" t="s">
        <v>790</v>
      </c>
      <c r="F1594">
        <v>5301010103</v>
      </c>
      <c r="G1594" s="13">
        <v>38881</v>
      </c>
      <c r="H1594" t="s">
        <v>791</v>
      </c>
      <c r="I1594" t="s">
        <v>525</v>
      </c>
      <c r="J1594" t="s">
        <v>789</v>
      </c>
      <c r="K1594" t="s">
        <v>516</v>
      </c>
      <c r="L1594">
        <v>9700000006</v>
      </c>
      <c r="M1594" t="s">
        <v>794</v>
      </c>
    </row>
    <row r="1595" spans="3:13">
      <c r="C1595">
        <v>2100300025</v>
      </c>
      <c r="D1595">
        <v>6411210</v>
      </c>
      <c r="E1595" t="s">
        <v>792</v>
      </c>
      <c r="F1595">
        <v>5301010103</v>
      </c>
      <c r="G1595" s="13">
        <v>386000</v>
      </c>
      <c r="H1595" t="s">
        <v>793</v>
      </c>
      <c r="I1595" t="s">
        <v>525</v>
      </c>
      <c r="J1595" t="s">
        <v>789</v>
      </c>
      <c r="K1595" t="s">
        <v>516</v>
      </c>
      <c r="L1595">
        <v>9700000013</v>
      </c>
      <c r="M1595" t="s">
        <v>795</v>
      </c>
    </row>
    <row r="1596" spans="3:13">
      <c r="C1596">
        <v>2100300025</v>
      </c>
      <c r="D1596">
        <v>6411240</v>
      </c>
      <c r="E1596" t="s">
        <v>519</v>
      </c>
      <c r="F1596">
        <v>5301010101</v>
      </c>
      <c r="G1596" s="13">
        <v>12862.21</v>
      </c>
      <c r="H1596" t="s">
        <v>520</v>
      </c>
      <c r="I1596" t="s">
        <v>525</v>
      </c>
      <c r="J1596" t="s">
        <v>789</v>
      </c>
      <c r="K1596" t="s">
        <v>218</v>
      </c>
      <c r="L1596">
        <v>9700000001</v>
      </c>
    </row>
    <row r="1597" spans="3:13">
      <c r="C1597">
        <v>2100300025</v>
      </c>
      <c r="D1597">
        <v>6411240</v>
      </c>
      <c r="E1597" t="s">
        <v>519</v>
      </c>
      <c r="F1597">
        <v>5301010101</v>
      </c>
      <c r="G1597" s="13">
        <v>70159.039999999994</v>
      </c>
      <c r="H1597" t="s">
        <v>520</v>
      </c>
      <c r="I1597" t="s">
        <v>525</v>
      </c>
      <c r="J1597" t="s">
        <v>789</v>
      </c>
      <c r="K1597" t="s">
        <v>218</v>
      </c>
      <c r="L1597">
        <v>9700000002</v>
      </c>
    </row>
    <row r="1598" spans="3:13">
      <c r="C1598">
        <v>2100300025</v>
      </c>
      <c r="D1598">
        <v>6411240</v>
      </c>
      <c r="E1598" t="s">
        <v>519</v>
      </c>
      <c r="F1598">
        <v>5301010101</v>
      </c>
      <c r="G1598" s="13">
        <v>2675</v>
      </c>
      <c r="H1598" t="s">
        <v>520</v>
      </c>
      <c r="I1598" t="s">
        <v>525</v>
      </c>
      <c r="J1598" t="s">
        <v>789</v>
      </c>
      <c r="K1598" t="s">
        <v>218</v>
      </c>
      <c r="L1598">
        <v>9700000003</v>
      </c>
    </row>
    <row r="1599" spans="3:13">
      <c r="C1599">
        <v>2100300025</v>
      </c>
      <c r="D1599">
        <v>6411240</v>
      </c>
      <c r="E1599" t="s">
        <v>790</v>
      </c>
      <c r="F1599">
        <v>5301010101</v>
      </c>
      <c r="G1599" s="13">
        <v>-12862.21</v>
      </c>
      <c r="H1599" t="s">
        <v>791</v>
      </c>
      <c r="I1599" t="s">
        <v>525</v>
      </c>
      <c r="J1599" t="s">
        <v>789</v>
      </c>
      <c r="K1599" t="s">
        <v>218</v>
      </c>
      <c r="L1599">
        <v>9700000001</v>
      </c>
    </row>
    <row r="1600" spans="3:13">
      <c r="C1600">
        <v>2100300025</v>
      </c>
      <c r="D1600">
        <v>6411240</v>
      </c>
      <c r="E1600" t="s">
        <v>790</v>
      </c>
      <c r="F1600">
        <v>5301010101</v>
      </c>
      <c r="G1600" s="13">
        <v>-70159.039999999994</v>
      </c>
      <c r="H1600" t="s">
        <v>791</v>
      </c>
      <c r="I1600" t="s">
        <v>525</v>
      </c>
      <c r="J1600" t="s">
        <v>789</v>
      </c>
      <c r="K1600" t="s">
        <v>218</v>
      </c>
      <c r="L1600">
        <v>9700000002</v>
      </c>
    </row>
    <row r="1601" spans="3:13">
      <c r="C1601">
        <v>2100300025</v>
      </c>
      <c r="D1601">
        <v>6411240</v>
      </c>
      <c r="E1601" t="s">
        <v>790</v>
      </c>
      <c r="F1601">
        <v>5301010101</v>
      </c>
      <c r="G1601" s="13">
        <v>-2675</v>
      </c>
      <c r="H1601" t="s">
        <v>791</v>
      </c>
      <c r="I1601" t="s">
        <v>525</v>
      </c>
      <c r="J1601" t="s">
        <v>789</v>
      </c>
      <c r="K1601" t="s">
        <v>218</v>
      </c>
      <c r="L1601">
        <v>9700000003</v>
      </c>
    </row>
    <row r="1602" spans="3:13">
      <c r="C1602">
        <v>2100300025</v>
      </c>
      <c r="D1602">
        <v>6411240</v>
      </c>
      <c r="E1602" t="s">
        <v>519</v>
      </c>
      <c r="F1602">
        <v>5301010103</v>
      </c>
      <c r="G1602" s="13">
        <v>-12862.21</v>
      </c>
      <c r="H1602" t="s">
        <v>520</v>
      </c>
      <c r="I1602" t="s">
        <v>525</v>
      </c>
      <c r="J1602" t="s">
        <v>789</v>
      </c>
      <c r="K1602" t="s">
        <v>516</v>
      </c>
      <c r="L1602">
        <v>9700000001</v>
      </c>
    </row>
    <row r="1603" spans="3:13">
      <c r="C1603">
        <v>2100300025</v>
      </c>
      <c r="D1603">
        <v>6411240</v>
      </c>
      <c r="E1603" t="s">
        <v>519</v>
      </c>
      <c r="F1603">
        <v>5301010103</v>
      </c>
      <c r="G1603" s="13">
        <v>-70159.039999999994</v>
      </c>
      <c r="H1603" t="s">
        <v>520</v>
      </c>
      <c r="I1603" t="s">
        <v>525</v>
      </c>
      <c r="J1603" t="s">
        <v>789</v>
      </c>
      <c r="K1603" t="s">
        <v>516</v>
      </c>
      <c r="L1603">
        <v>9700000002</v>
      </c>
    </row>
    <row r="1604" spans="3:13">
      <c r="C1604">
        <v>2100300025</v>
      </c>
      <c r="D1604">
        <v>6411240</v>
      </c>
      <c r="E1604" t="s">
        <v>519</v>
      </c>
      <c r="F1604">
        <v>5301010103</v>
      </c>
      <c r="G1604" s="13">
        <v>-2675</v>
      </c>
      <c r="H1604" t="s">
        <v>520</v>
      </c>
      <c r="I1604" t="s">
        <v>525</v>
      </c>
      <c r="J1604" t="s">
        <v>789</v>
      </c>
      <c r="K1604" t="s">
        <v>516</v>
      </c>
      <c r="L1604">
        <v>9700000003</v>
      </c>
    </row>
    <row r="1605" spans="3:13">
      <c r="C1605">
        <v>2100300025</v>
      </c>
      <c r="D1605">
        <v>6411240</v>
      </c>
      <c r="E1605" t="s">
        <v>790</v>
      </c>
      <c r="F1605">
        <v>5301010103</v>
      </c>
      <c r="G1605" s="13">
        <v>12862.21</v>
      </c>
      <c r="H1605" t="s">
        <v>791</v>
      </c>
      <c r="I1605" t="s">
        <v>525</v>
      </c>
      <c r="J1605" t="s">
        <v>789</v>
      </c>
      <c r="K1605" t="s">
        <v>516</v>
      </c>
      <c r="L1605">
        <v>9700000001</v>
      </c>
      <c r="M1605" t="s">
        <v>796</v>
      </c>
    </row>
    <row r="1606" spans="3:13">
      <c r="C1606">
        <v>2100300025</v>
      </c>
      <c r="D1606">
        <v>6411240</v>
      </c>
      <c r="E1606" t="s">
        <v>790</v>
      </c>
      <c r="F1606">
        <v>5301010103</v>
      </c>
      <c r="G1606" s="13">
        <v>70159.039999999994</v>
      </c>
      <c r="H1606" t="s">
        <v>791</v>
      </c>
      <c r="I1606" t="s">
        <v>525</v>
      </c>
      <c r="J1606" t="s">
        <v>789</v>
      </c>
      <c r="K1606" t="s">
        <v>516</v>
      </c>
      <c r="L1606">
        <v>9700000002</v>
      </c>
      <c r="M1606" t="s">
        <v>797</v>
      </c>
    </row>
    <row r="1607" spans="3:13">
      <c r="C1607">
        <v>2100300025</v>
      </c>
      <c r="D1607">
        <v>6411240</v>
      </c>
      <c r="E1607" t="s">
        <v>790</v>
      </c>
      <c r="F1607">
        <v>5301010103</v>
      </c>
      <c r="G1607" s="13">
        <v>2675</v>
      </c>
      <c r="H1607" t="s">
        <v>791</v>
      </c>
      <c r="I1607" t="s">
        <v>525</v>
      </c>
      <c r="J1607" t="s">
        <v>789</v>
      </c>
      <c r="K1607" t="s">
        <v>516</v>
      </c>
      <c r="L1607">
        <v>9700000003</v>
      </c>
      <c r="M1607" t="s">
        <v>798</v>
      </c>
    </row>
    <row r="1608" spans="3:13">
      <c r="C1608">
        <v>2100300025</v>
      </c>
      <c r="D1608">
        <v>6411220</v>
      </c>
      <c r="E1608" t="s">
        <v>792</v>
      </c>
      <c r="F1608">
        <v>5101020106</v>
      </c>
      <c r="G1608">
        <v>-8</v>
      </c>
      <c r="H1608" t="s">
        <v>793</v>
      </c>
      <c r="I1608" t="s">
        <v>216</v>
      </c>
      <c r="J1608" t="s">
        <v>799</v>
      </c>
      <c r="K1608" t="s">
        <v>148</v>
      </c>
      <c r="L1608">
        <v>100031836</v>
      </c>
    </row>
    <row r="1609" spans="3:13">
      <c r="C1609">
        <v>2100300025</v>
      </c>
      <c r="D1609">
        <v>6411220</v>
      </c>
      <c r="E1609" t="s">
        <v>792</v>
      </c>
      <c r="F1609">
        <v>5101020106</v>
      </c>
      <c r="G1609" s="13">
        <v>-6845</v>
      </c>
      <c r="H1609" t="s">
        <v>793</v>
      </c>
      <c r="I1609" t="s">
        <v>216</v>
      </c>
      <c r="J1609" t="s">
        <v>800</v>
      </c>
      <c r="K1609" t="s">
        <v>148</v>
      </c>
      <c r="L1609">
        <v>100070354</v>
      </c>
    </row>
    <row r="1610" spans="3:13">
      <c r="C1610">
        <v>2100300025</v>
      </c>
      <c r="D1610">
        <v>6411210</v>
      </c>
      <c r="E1610" t="s">
        <v>792</v>
      </c>
      <c r="F1610">
        <v>5101020114</v>
      </c>
      <c r="G1610" s="13">
        <v>-2000</v>
      </c>
      <c r="H1610" t="s">
        <v>793</v>
      </c>
      <c r="I1610" t="s">
        <v>216</v>
      </c>
      <c r="J1610" t="s">
        <v>801</v>
      </c>
      <c r="K1610" t="s">
        <v>513</v>
      </c>
      <c r="L1610">
        <v>100042710</v>
      </c>
    </row>
    <row r="1611" spans="3:13">
      <c r="C1611">
        <v>2100300025</v>
      </c>
      <c r="D1611">
        <v>6491000</v>
      </c>
      <c r="E1611" t="s">
        <v>188</v>
      </c>
      <c r="F1611">
        <v>5210010102</v>
      </c>
      <c r="G1611" s="13">
        <v>12200000</v>
      </c>
      <c r="I1611" t="s">
        <v>175</v>
      </c>
      <c r="J1611" t="s">
        <v>802</v>
      </c>
      <c r="K1611" t="s">
        <v>177</v>
      </c>
      <c r="L1611">
        <v>2000003014</v>
      </c>
    </row>
    <row r="1612" spans="3:13">
      <c r="C1612">
        <v>2100300025</v>
      </c>
      <c r="D1612">
        <v>6492000</v>
      </c>
      <c r="E1612" t="s">
        <v>188</v>
      </c>
      <c r="F1612">
        <v>5209010112</v>
      </c>
      <c r="G1612">
        <v>8</v>
      </c>
      <c r="I1612" t="s">
        <v>175</v>
      </c>
      <c r="J1612" t="s">
        <v>799</v>
      </c>
      <c r="K1612" t="s">
        <v>176</v>
      </c>
      <c r="L1612">
        <v>2000005447</v>
      </c>
    </row>
    <row r="1613" spans="3:13">
      <c r="C1613">
        <v>2100300025</v>
      </c>
      <c r="D1613">
        <v>6491000</v>
      </c>
      <c r="E1613" t="s">
        <v>188</v>
      </c>
      <c r="F1613">
        <v>5210010102</v>
      </c>
      <c r="G1613">
        <v>169</v>
      </c>
      <c r="I1613" t="s">
        <v>175</v>
      </c>
      <c r="J1613" t="s">
        <v>799</v>
      </c>
      <c r="K1613" t="s">
        <v>177</v>
      </c>
      <c r="L1613">
        <v>2000005446</v>
      </c>
    </row>
    <row r="1614" spans="3:13">
      <c r="C1614">
        <v>2100300025</v>
      </c>
      <c r="D1614">
        <v>6492000</v>
      </c>
      <c r="E1614" t="s">
        <v>188</v>
      </c>
      <c r="F1614">
        <v>5209010112</v>
      </c>
      <c r="G1614" s="13">
        <v>2000</v>
      </c>
      <c r="I1614" t="s">
        <v>175</v>
      </c>
      <c r="J1614" t="s">
        <v>801</v>
      </c>
      <c r="K1614" t="s">
        <v>176</v>
      </c>
      <c r="L1614">
        <v>2000006390</v>
      </c>
    </row>
    <row r="1615" spans="3:13">
      <c r="C1615">
        <v>2100300025</v>
      </c>
      <c r="D1615">
        <v>6491000</v>
      </c>
      <c r="E1615" t="s">
        <v>188</v>
      </c>
      <c r="F1615">
        <v>5210010102</v>
      </c>
      <c r="G1615" s="13">
        <v>-5070</v>
      </c>
      <c r="I1615" t="s">
        <v>175</v>
      </c>
      <c r="J1615" t="s">
        <v>803</v>
      </c>
      <c r="K1615" t="s">
        <v>177</v>
      </c>
      <c r="L1615">
        <v>2000000396</v>
      </c>
    </row>
    <row r="1616" spans="3:13">
      <c r="C1616">
        <v>2100300025</v>
      </c>
      <c r="D1616">
        <v>6491000</v>
      </c>
      <c r="E1616" t="s">
        <v>188</v>
      </c>
      <c r="F1616">
        <v>5210010102</v>
      </c>
      <c r="G1616" s="13">
        <v>5070</v>
      </c>
      <c r="I1616" t="s">
        <v>175</v>
      </c>
      <c r="J1616" t="s">
        <v>803</v>
      </c>
      <c r="K1616" t="s">
        <v>177</v>
      </c>
      <c r="L1616">
        <v>2000000395</v>
      </c>
    </row>
    <row r="1617" spans="3:12">
      <c r="C1617">
        <v>2100300025</v>
      </c>
      <c r="D1617">
        <v>6491000</v>
      </c>
      <c r="E1617" t="s">
        <v>188</v>
      </c>
      <c r="F1617">
        <v>5210010102</v>
      </c>
      <c r="G1617" s="13">
        <v>50700</v>
      </c>
      <c r="I1617" t="s">
        <v>175</v>
      </c>
      <c r="J1617" t="s">
        <v>803</v>
      </c>
      <c r="K1617" t="s">
        <v>177</v>
      </c>
      <c r="L1617">
        <v>2000000397</v>
      </c>
    </row>
    <row r="1618" spans="3:12">
      <c r="C1618">
        <v>2100300025</v>
      </c>
      <c r="D1618">
        <v>6491000</v>
      </c>
      <c r="E1618" t="s">
        <v>188</v>
      </c>
      <c r="F1618">
        <v>5210010102</v>
      </c>
      <c r="G1618">
        <v>399</v>
      </c>
      <c r="I1618" t="s">
        <v>175</v>
      </c>
      <c r="J1618" t="s">
        <v>804</v>
      </c>
      <c r="K1618" t="s">
        <v>177</v>
      </c>
      <c r="L1618">
        <v>2000001316</v>
      </c>
    </row>
    <row r="1619" spans="3:12">
      <c r="C1619">
        <v>2100300025</v>
      </c>
      <c r="D1619">
        <v>6491000</v>
      </c>
      <c r="E1619" t="s">
        <v>188</v>
      </c>
      <c r="F1619">
        <v>5210010102</v>
      </c>
      <c r="G1619">
        <v>712</v>
      </c>
      <c r="I1619" t="s">
        <v>175</v>
      </c>
      <c r="J1619" t="s">
        <v>805</v>
      </c>
      <c r="K1619" t="s">
        <v>177</v>
      </c>
      <c r="L1619">
        <v>2000001241</v>
      </c>
    </row>
    <row r="1620" spans="3:12">
      <c r="C1620">
        <v>2100300025</v>
      </c>
      <c r="D1620">
        <v>6491000</v>
      </c>
      <c r="E1620" t="s">
        <v>188</v>
      </c>
      <c r="F1620">
        <v>5210010102</v>
      </c>
      <c r="G1620" s="13">
        <v>8212</v>
      </c>
      <c r="I1620" t="s">
        <v>175</v>
      </c>
      <c r="J1620" t="s">
        <v>805</v>
      </c>
      <c r="K1620" t="s">
        <v>177</v>
      </c>
      <c r="L1620">
        <v>2000001242</v>
      </c>
    </row>
    <row r="1621" spans="3:12">
      <c r="C1621">
        <v>2100300025</v>
      </c>
      <c r="D1621">
        <v>6491000</v>
      </c>
      <c r="E1621" t="s">
        <v>188</v>
      </c>
      <c r="F1621">
        <v>5210010102</v>
      </c>
      <c r="G1621" s="13">
        <v>1887</v>
      </c>
      <c r="I1621" t="s">
        <v>175</v>
      </c>
      <c r="J1621" t="s">
        <v>805</v>
      </c>
      <c r="K1621" t="s">
        <v>177</v>
      </c>
      <c r="L1621">
        <v>2000001243</v>
      </c>
    </row>
    <row r="1622" spans="3:12">
      <c r="C1622">
        <v>2100300025</v>
      </c>
      <c r="D1622">
        <v>6491000</v>
      </c>
      <c r="E1622" t="s">
        <v>188</v>
      </c>
      <c r="F1622">
        <v>5210010102</v>
      </c>
      <c r="G1622" s="13">
        <v>16000000</v>
      </c>
      <c r="I1622" t="s">
        <v>175</v>
      </c>
      <c r="J1622" t="s">
        <v>806</v>
      </c>
      <c r="K1622" t="s">
        <v>177</v>
      </c>
      <c r="L1622">
        <v>2000000362</v>
      </c>
    </row>
    <row r="1623" spans="3:12">
      <c r="C1623">
        <v>2100300025</v>
      </c>
      <c r="D1623">
        <v>6491000</v>
      </c>
      <c r="E1623" t="s">
        <v>188</v>
      </c>
      <c r="F1623">
        <v>5210010102</v>
      </c>
      <c r="G1623">
        <v>327</v>
      </c>
      <c r="I1623" t="s">
        <v>175</v>
      </c>
      <c r="J1623" t="s">
        <v>807</v>
      </c>
      <c r="K1623" t="s">
        <v>177</v>
      </c>
      <c r="L1623">
        <v>2000001747</v>
      </c>
    </row>
    <row r="1624" spans="3:12">
      <c r="C1624">
        <v>2100300025</v>
      </c>
      <c r="D1624">
        <v>6491000</v>
      </c>
      <c r="E1624" t="s">
        <v>188</v>
      </c>
      <c r="F1624">
        <v>5210010102</v>
      </c>
      <c r="G1624" s="13">
        <v>1820</v>
      </c>
      <c r="I1624" t="s">
        <v>175</v>
      </c>
      <c r="J1624" t="s">
        <v>807</v>
      </c>
      <c r="K1624" t="s">
        <v>177</v>
      </c>
      <c r="L1624">
        <v>2000001748</v>
      </c>
    </row>
    <row r="1625" spans="3:12">
      <c r="C1625">
        <v>2100300025</v>
      </c>
      <c r="D1625">
        <v>6491000</v>
      </c>
      <c r="E1625" t="s">
        <v>188</v>
      </c>
      <c r="F1625">
        <v>5210010102</v>
      </c>
      <c r="G1625" s="13">
        <v>3865</v>
      </c>
      <c r="I1625" t="s">
        <v>175</v>
      </c>
      <c r="J1625" t="s">
        <v>807</v>
      </c>
      <c r="K1625" t="s">
        <v>177</v>
      </c>
      <c r="L1625">
        <v>2000001749</v>
      </c>
    </row>
    <row r="1626" spans="3:12">
      <c r="C1626">
        <v>2100300025</v>
      </c>
      <c r="D1626">
        <v>6491000</v>
      </c>
      <c r="E1626" t="s">
        <v>188</v>
      </c>
      <c r="F1626">
        <v>5210010102</v>
      </c>
      <c r="G1626">
        <v>237</v>
      </c>
      <c r="I1626" t="s">
        <v>175</v>
      </c>
      <c r="J1626" t="s">
        <v>807</v>
      </c>
      <c r="K1626" t="s">
        <v>177</v>
      </c>
      <c r="L1626">
        <v>2000001750</v>
      </c>
    </row>
    <row r="1627" spans="3:12">
      <c r="C1627">
        <v>2100300025</v>
      </c>
      <c r="D1627">
        <v>6491000</v>
      </c>
      <c r="E1627" t="s">
        <v>188</v>
      </c>
      <c r="F1627">
        <v>5210010102</v>
      </c>
      <c r="G1627" s="13">
        <v>9236</v>
      </c>
      <c r="I1627" t="s">
        <v>175</v>
      </c>
      <c r="J1627" t="s">
        <v>808</v>
      </c>
      <c r="K1627" t="s">
        <v>177</v>
      </c>
      <c r="L1627">
        <v>2000001270</v>
      </c>
    </row>
    <row r="1628" spans="3:12">
      <c r="C1628">
        <v>2100300025</v>
      </c>
      <c r="D1628">
        <v>6491000</v>
      </c>
      <c r="E1628" t="s">
        <v>188</v>
      </c>
      <c r="F1628">
        <v>5210010102</v>
      </c>
      <c r="G1628" s="13">
        <v>4132</v>
      </c>
      <c r="I1628" t="s">
        <v>175</v>
      </c>
      <c r="J1628" t="s">
        <v>809</v>
      </c>
      <c r="K1628" t="s">
        <v>177</v>
      </c>
      <c r="L1628">
        <v>2000001347</v>
      </c>
    </row>
    <row r="1629" spans="3:12">
      <c r="C1629">
        <v>2100300025</v>
      </c>
      <c r="D1629">
        <v>6491000</v>
      </c>
      <c r="E1629" t="s">
        <v>188</v>
      </c>
      <c r="F1629">
        <v>5210010102</v>
      </c>
      <c r="G1629" s="13">
        <v>1520</v>
      </c>
      <c r="I1629" t="s">
        <v>175</v>
      </c>
      <c r="J1629" t="s">
        <v>809</v>
      </c>
      <c r="K1629" t="s">
        <v>177</v>
      </c>
      <c r="L1629">
        <v>2000001348</v>
      </c>
    </row>
    <row r="1630" spans="3:12">
      <c r="C1630">
        <v>2100300025</v>
      </c>
      <c r="D1630">
        <v>6491000</v>
      </c>
      <c r="E1630" t="s">
        <v>188</v>
      </c>
      <c r="F1630">
        <v>5210010102</v>
      </c>
      <c r="G1630">
        <v>421</v>
      </c>
      <c r="I1630" t="s">
        <v>175</v>
      </c>
      <c r="J1630" t="s">
        <v>571</v>
      </c>
      <c r="K1630" t="s">
        <v>177</v>
      </c>
      <c r="L1630">
        <v>2000002676</v>
      </c>
    </row>
    <row r="1631" spans="3:12">
      <c r="C1631">
        <v>2100300025</v>
      </c>
      <c r="D1631">
        <v>6491000</v>
      </c>
      <c r="E1631" t="s">
        <v>188</v>
      </c>
      <c r="F1631">
        <v>5210010102</v>
      </c>
      <c r="G1631" s="13">
        <v>4750</v>
      </c>
      <c r="I1631" t="s">
        <v>175</v>
      </c>
      <c r="J1631" t="s">
        <v>571</v>
      </c>
      <c r="K1631" t="s">
        <v>177</v>
      </c>
      <c r="L1631">
        <v>2000002677</v>
      </c>
    </row>
    <row r="1632" spans="3:12">
      <c r="C1632">
        <v>2100300025</v>
      </c>
      <c r="D1632">
        <v>6491000</v>
      </c>
      <c r="E1632" t="s">
        <v>188</v>
      </c>
      <c r="F1632">
        <v>5210010102</v>
      </c>
      <c r="G1632" s="13">
        <v>16500000</v>
      </c>
      <c r="I1632" t="s">
        <v>175</v>
      </c>
      <c r="J1632" t="s">
        <v>810</v>
      </c>
      <c r="K1632" t="s">
        <v>177</v>
      </c>
      <c r="L1632">
        <v>2000002070</v>
      </c>
    </row>
    <row r="1633" spans="3:12">
      <c r="C1633">
        <v>2100300025</v>
      </c>
      <c r="D1633">
        <v>6491000</v>
      </c>
      <c r="E1633" t="s">
        <v>188</v>
      </c>
      <c r="F1633">
        <v>5210010102</v>
      </c>
      <c r="G1633">
        <v>538</v>
      </c>
      <c r="I1633" t="s">
        <v>175</v>
      </c>
      <c r="J1633" t="s">
        <v>811</v>
      </c>
      <c r="K1633" t="s">
        <v>177</v>
      </c>
      <c r="L1633">
        <v>2000000742</v>
      </c>
    </row>
    <row r="1634" spans="3:12">
      <c r="C1634">
        <v>2100300025</v>
      </c>
      <c r="D1634">
        <v>6491000</v>
      </c>
      <c r="E1634" t="s">
        <v>188</v>
      </c>
      <c r="F1634">
        <v>5210010102</v>
      </c>
      <c r="G1634" s="13">
        <v>5470</v>
      </c>
      <c r="I1634" t="s">
        <v>175</v>
      </c>
      <c r="J1634" t="s">
        <v>811</v>
      </c>
      <c r="K1634" t="s">
        <v>177</v>
      </c>
      <c r="L1634">
        <v>2000000743</v>
      </c>
    </row>
    <row r="1635" spans="3:12">
      <c r="C1635">
        <v>2100300025</v>
      </c>
      <c r="D1635">
        <v>6491000</v>
      </c>
      <c r="E1635" t="s">
        <v>188</v>
      </c>
      <c r="F1635">
        <v>5210010102</v>
      </c>
      <c r="G1635" s="13">
        <v>1519</v>
      </c>
      <c r="I1635" t="s">
        <v>175</v>
      </c>
      <c r="J1635" t="s">
        <v>811</v>
      </c>
      <c r="K1635" t="s">
        <v>177</v>
      </c>
      <c r="L1635">
        <v>2000000744</v>
      </c>
    </row>
    <row r="1636" spans="3:12">
      <c r="C1636">
        <v>2100300025</v>
      </c>
      <c r="D1636">
        <v>6492000</v>
      </c>
      <c r="E1636" t="s">
        <v>188</v>
      </c>
      <c r="F1636">
        <v>5209010112</v>
      </c>
      <c r="G1636" s="13">
        <v>6845</v>
      </c>
      <c r="I1636" t="s">
        <v>175</v>
      </c>
      <c r="J1636" t="s">
        <v>800</v>
      </c>
      <c r="K1636" t="s">
        <v>176</v>
      </c>
      <c r="L1636">
        <v>2000008194</v>
      </c>
    </row>
    <row r="1637" spans="3:12">
      <c r="C1637">
        <v>2100300025</v>
      </c>
      <c r="D1637">
        <v>6491000</v>
      </c>
      <c r="E1637" t="s">
        <v>188</v>
      </c>
      <c r="F1637">
        <v>5210010102</v>
      </c>
      <c r="G1637" s="13">
        <v>3036</v>
      </c>
      <c r="I1637" t="s">
        <v>175</v>
      </c>
      <c r="J1637" t="s">
        <v>812</v>
      </c>
      <c r="K1637" t="s">
        <v>177</v>
      </c>
      <c r="L1637">
        <v>2000002239</v>
      </c>
    </row>
    <row r="1638" spans="3:12">
      <c r="C1638">
        <v>2100300025</v>
      </c>
      <c r="D1638">
        <v>6491000</v>
      </c>
      <c r="E1638" t="s">
        <v>188</v>
      </c>
      <c r="F1638">
        <v>5210010102</v>
      </c>
      <c r="G1638" s="13">
        <v>2323</v>
      </c>
      <c r="I1638" t="s">
        <v>175</v>
      </c>
      <c r="J1638" t="s">
        <v>813</v>
      </c>
      <c r="K1638" t="s">
        <v>177</v>
      </c>
      <c r="L1638">
        <v>2000002379</v>
      </c>
    </row>
    <row r="1639" spans="3:12">
      <c r="C1639">
        <v>2100300025</v>
      </c>
      <c r="D1639">
        <v>6491000</v>
      </c>
      <c r="E1639" t="s">
        <v>188</v>
      </c>
      <c r="F1639">
        <v>5210010102</v>
      </c>
      <c r="G1639" s="13">
        <v>4033</v>
      </c>
      <c r="I1639" t="s">
        <v>175</v>
      </c>
      <c r="J1639" t="s">
        <v>813</v>
      </c>
      <c r="K1639" t="s">
        <v>177</v>
      </c>
      <c r="L1639">
        <v>2000002380</v>
      </c>
    </row>
    <row r="1640" spans="3:12">
      <c r="C1640">
        <v>2100300025</v>
      </c>
      <c r="D1640">
        <v>6491000</v>
      </c>
      <c r="E1640" t="s">
        <v>188</v>
      </c>
      <c r="F1640">
        <v>5210010102</v>
      </c>
      <c r="G1640" s="13">
        <v>2140</v>
      </c>
      <c r="I1640" t="s">
        <v>175</v>
      </c>
      <c r="J1640" t="s">
        <v>813</v>
      </c>
      <c r="K1640" t="s">
        <v>177</v>
      </c>
      <c r="L1640">
        <v>2000002381</v>
      </c>
    </row>
    <row r="1641" spans="3:12">
      <c r="C1641">
        <v>2100300025</v>
      </c>
      <c r="D1641">
        <v>6491000</v>
      </c>
      <c r="E1641" t="s">
        <v>188</v>
      </c>
      <c r="F1641">
        <v>5210010102</v>
      </c>
      <c r="G1641" s="13">
        <v>1367</v>
      </c>
      <c r="I1641" t="s">
        <v>175</v>
      </c>
      <c r="J1641" t="s">
        <v>814</v>
      </c>
      <c r="K1641" t="s">
        <v>177</v>
      </c>
      <c r="L1641">
        <v>2000002743</v>
      </c>
    </row>
    <row r="1642" spans="3:12">
      <c r="C1642">
        <v>2100300025</v>
      </c>
      <c r="D1642">
        <v>6491000</v>
      </c>
      <c r="E1642" t="s">
        <v>188</v>
      </c>
      <c r="F1642">
        <v>5210010102</v>
      </c>
      <c r="G1642" s="13">
        <v>1453</v>
      </c>
      <c r="I1642" t="s">
        <v>175</v>
      </c>
      <c r="J1642" t="s">
        <v>815</v>
      </c>
      <c r="K1642" t="s">
        <v>177</v>
      </c>
      <c r="L1642">
        <v>2000003846</v>
      </c>
    </row>
    <row r="1643" spans="3:12">
      <c r="C1643">
        <v>2100300025</v>
      </c>
      <c r="D1643">
        <v>6491000</v>
      </c>
      <c r="E1643" t="s">
        <v>188</v>
      </c>
      <c r="F1643">
        <v>5210010102</v>
      </c>
      <c r="G1643">
        <v>354</v>
      </c>
      <c r="I1643" t="s">
        <v>175</v>
      </c>
      <c r="J1643" t="s">
        <v>815</v>
      </c>
      <c r="K1643" t="s">
        <v>177</v>
      </c>
      <c r="L1643">
        <v>2000003847</v>
      </c>
    </row>
    <row r="1644" spans="3:12">
      <c r="C1644">
        <v>2100300025</v>
      </c>
      <c r="D1644">
        <v>6491000</v>
      </c>
      <c r="E1644" t="s">
        <v>188</v>
      </c>
      <c r="F1644">
        <v>5210010102</v>
      </c>
      <c r="G1644" s="13">
        <v>99800</v>
      </c>
      <c r="I1644" t="s">
        <v>175</v>
      </c>
      <c r="J1644" t="s">
        <v>816</v>
      </c>
      <c r="K1644" t="s">
        <v>177</v>
      </c>
      <c r="L1644">
        <v>2000003419</v>
      </c>
    </row>
    <row r="1645" spans="3:12">
      <c r="C1645">
        <v>2100300025</v>
      </c>
      <c r="D1645">
        <v>6491000</v>
      </c>
      <c r="E1645" t="s">
        <v>188</v>
      </c>
      <c r="F1645">
        <v>5210010102</v>
      </c>
      <c r="G1645" s="13">
        <v>7205</v>
      </c>
      <c r="I1645" t="s">
        <v>175</v>
      </c>
      <c r="J1645" t="s">
        <v>817</v>
      </c>
      <c r="K1645" t="s">
        <v>177</v>
      </c>
      <c r="L1645">
        <v>2000000278</v>
      </c>
    </row>
    <row r="1646" spans="3:12">
      <c r="C1646">
        <v>2100300025</v>
      </c>
      <c r="D1646">
        <v>6491000</v>
      </c>
      <c r="E1646" t="s">
        <v>188</v>
      </c>
      <c r="F1646">
        <v>5210010102</v>
      </c>
      <c r="G1646" s="13">
        <v>1487</v>
      </c>
      <c r="I1646" t="s">
        <v>175</v>
      </c>
      <c r="J1646" t="s">
        <v>818</v>
      </c>
      <c r="K1646" t="s">
        <v>177</v>
      </c>
      <c r="L1646">
        <v>2000003736</v>
      </c>
    </row>
    <row r="1647" spans="3:12">
      <c r="C1647">
        <v>2100300025</v>
      </c>
      <c r="D1647">
        <v>6491000</v>
      </c>
      <c r="E1647" t="s">
        <v>188</v>
      </c>
      <c r="F1647">
        <v>5210010102</v>
      </c>
      <c r="G1647" s="13">
        <v>4245</v>
      </c>
      <c r="I1647" t="s">
        <v>175</v>
      </c>
      <c r="J1647" t="s">
        <v>818</v>
      </c>
      <c r="K1647" t="s">
        <v>177</v>
      </c>
      <c r="L1647">
        <v>2000003737</v>
      </c>
    </row>
    <row r="1648" spans="3:12">
      <c r="C1648">
        <v>2100300025</v>
      </c>
      <c r="D1648">
        <v>6491000</v>
      </c>
      <c r="E1648" t="s">
        <v>188</v>
      </c>
      <c r="F1648">
        <v>5210010102</v>
      </c>
      <c r="G1648">
        <v>600</v>
      </c>
      <c r="I1648" t="s">
        <v>175</v>
      </c>
      <c r="J1648" t="s">
        <v>818</v>
      </c>
      <c r="K1648" t="s">
        <v>177</v>
      </c>
      <c r="L1648">
        <v>2000003738</v>
      </c>
    </row>
    <row r="1649" spans="3:12">
      <c r="C1649">
        <v>2100300025</v>
      </c>
      <c r="D1649">
        <v>6491000</v>
      </c>
      <c r="E1649" t="s">
        <v>188</v>
      </c>
      <c r="F1649">
        <v>5210010102</v>
      </c>
      <c r="G1649" s="13">
        <v>2723</v>
      </c>
      <c r="I1649" t="s">
        <v>175</v>
      </c>
      <c r="J1649" t="s">
        <v>819</v>
      </c>
      <c r="K1649" t="s">
        <v>177</v>
      </c>
      <c r="L1649">
        <v>2000005666</v>
      </c>
    </row>
    <row r="1650" spans="3:12">
      <c r="C1650">
        <v>2100300025</v>
      </c>
      <c r="D1650">
        <v>6491000</v>
      </c>
      <c r="E1650" t="s">
        <v>188</v>
      </c>
      <c r="F1650">
        <v>5210010102</v>
      </c>
      <c r="G1650" s="13">
        <v>74900</v>
      </c>
      <c r="I1650" t="s">
        <v>175</v>
      </c>
      <c r="J1650" t="s">
        <v>819</v>
      </c>
      <c r="K1650" t="s">
        <v>177</v>
      </c>
      <c r="L1650">
        <v>2000005667</v>
      </c>
    </row>
    <row r="1651" spans="3:12">
      <c r="C1651">
        <v>2100300025</v>
      </c>
      <c r="D1651">
        <v>6491000</v>
      </c>
      <c r="E1651" t="s">
        <v>188</v>
      </c>
      <c r="F1651">
        <v>5210010102</v>
      </c>
      <c r="G1651" s="13">
        <v>1950</v>
      </c>
      <c r="I1651" t="s">
        <v>175</v>
      </c>
      <c r="J1651" t="s">
        <v>819</v>
      </c>
      <c r="K1651" t="s">
        <v>177</v>
      </c>
      <c r="L1651">
        <v>2000005668</v>
      </c>
    </row>
    <row r="1652" spans="3:12">
      <c r="C1652">
        <v>2100300025</v>
      </c>
      <c r="D1652">
        <v>6491000</v>
      </c>
      <c r="E1652" t="s">
        <v>188</v>
      </c>
      <c r="F1652">
        <v>5210010102</v>
      </c>
      <c r="G1652">
        <v>651</v>
      </c>
      <c r="I1652" t="s">
        <v>175</v>
      </c>
      <c r="J1652" t="s">
        <v>819</v>
      </c>
      <c r="K1652" t="s">
        <v>177</v>
      </c>
      <c r="L1652">
        <v>2000005669</v>
      </c>
    </row>
    <row r="1653" spans="3:12">
      <c r="C1653">
        <v>2100300025</v>
      </c>
      <c r="D1653">
        <v>6491000</v>
      </c>
      <c r="E1653" t="s">
        <v>188</v>
      </c>
      <c r="F1653">
        <v>5210010102</v>
      </c>
      <c r="G1653">
        <v>483</v>
      </c>
      <c r="I1653" t="s">
        <v>175</v>
      </c>
      <c r="J1653" t="s">
        <v>819</v>
      </c>
      <c r="K1653" t="s">
        <v>177</v>
      </c>
      <c r="L1653">
        <v>2000005670</v>
      </c>
    </row>
    <row r="1654" spans="3:12">
      <c r="C1654">
        <v>2100300025</v>
      </c>
      <c r="D1654">
        <v>6491000</v>
      </c>
      <c r="E1654" t="s">
        <v>188</v>
      </c>
      <c r="F1654">
        <v>5210010102</v>
      </c>
      <c r="G1654" s="13">
        <v>1653</v>
      </c>
      <c r="I1654" t="s">
        <v>175</v>
      </c>
      <c r="J1654" t="s">
        <v>820</v>
      </c>
      <c r="K1654" t="s">
        <v>177</v>
      </c>
      <c r="L1654">
        <v>2000005297</v>
      </c>
    </row>
    <row r="1655" spans="3:12">
      <c r="C1655">
        <v>2100300025</v>
      </c>
      <c r="D1655">
        <v>6491000</v>
      </c>
      <c r="E1655" t="s">
        <v>188</v>
      </c>
      <c r="F1655">
        <v>5210010102</v>
      </c>
      <c r="G1655">
        <v>655</v>
      </c>
      <c r="I1655" t="s">
        <v>175</v>
      </c>
      <c r="J1655" t="s">
        <v>820</v>
      </c>
      <c r="K1655" t="s">
        <v>177</v>
      </c>
      <c r="L1655">
        <v>2000005298</v>
      </c>
    </row>
    <row r="1656" spans="3:12">
      <c r="C1656">
        <v>2100300025</v>
      </c>
      <c r="D1656">
        <v>6491000</v>
      </c>
      <c r="E1656" t="s">
        <v>188</v>
      </c>
      <c r="F1656">
        <v>5210010102</v>
      </c>
      <c r="G1656" s="13">
        <v>3563</v>
      </c>
      <c r="I1656" t="s">
        <v>175</v>
      </c>
      <c r="J1656" t="s">
        <v>821</v>
      </c>
      <c r="K1656" t="s">
        <v>177</v>
      </c>
      <c r="L1656">
        <v>2000005247</v>
      </c>
    </row>
    <row r="1657" spans="3:12">
      <c r="C1657">
        <v>2100300025</v>
      </c>
      <c r="D1657">
        <v>6491000</v>
      </c>
      <c r="E1657" t="s">
        <v>188</v>
      </c>
      <c r="F1657">
        <v>5210010102</v>
      </c>
      <c r="G1657" s="13">
        <v>1059</v>
      </c>
      <c r="I1657" t="s">
        <v>175</v>
      </c>
      <c r="J1657" t="s">
        <v>821</v>
      </c>
      <c r="K1657" t="s">
        <v>177</v>
      </c>
      <c r="L1657">
        <v>2000005248</v>
      </c>
    </row>
    <row r="1658" spans="3:12">
      <c r="C1658">
        <v>2100300025</v>
      </c>
      <c r="D1658">
        <v>6491000</v>
      </c>
      <c r="E1658" t="s">
        <v>188</v>
      </c>
      <c r="F1658">
        <v>5210010102</v>
      </c>
      <c r="G1658">
        <v>570</v>
      </c>
      <c r="I1658" t="s">
        <v>175</v>
      </c>
      <c r="J1658" t="s">
        <v>821</v>
      </c>
      <c r="K1658" t="s">
        <v>177</v>
      </c>
      <c r="L1658">
        <v>2000005249</v>
      </c>
    </row>
    <row r="1659" spans="3:12">
      <c r="C1659">
        <v>2100300025</v>
      </c>
      <c r="D1659">
        <v>6491000</v>
      </c>
      <c r="E1659" t="s">
        <v>188</v>
      </c>
      <c r="F1659">
        <v>5210010102</v>
      </c>
      <c r="G1659" s="13">
        <v>12000000</v>
      </c>
      <c r="I1659" t="s">
        <v>175</v>
      </c>
      <c r="J1659" t="s">
        <v>822</v>
      </c>
      <c r="K1659" t="s">
        <v>177</v>
      </c>
      <c r="L1659">
        <v>2000004230</v>
      </c>
    </row>
    <row r="1660" spans="3:12">
      <c r="C1660">
        <v>2100300025</v>
      </c>
      <c r="D1660">
        <v>6491000</v>
      </c>
      <c r="E1660" t="s">
        <v>188</v>
      </c>
      <c r="F1660">
        <v>5210010102</v>
      </c>
      <c r="G1660" s="13">
        <v>1490</v>
      </c>
      <c r="I1660" t="s">
        <v>175</v>
      </c>
      <c r="J1660" t="s">
        <v>823</v>
      </c>
      <c r="K1660" t="s">
        <v>177</v>
      </c>
      <c r="L1660">
        <v>2000002787</v>
      </c>
    </row>
    <row r="1661" spans="3:12">
      <c r="C1661">
        <v>2100300025</v>
      </c>
      <c r="D1661">
        <v>6491000</v>
      </c>
      <c r="E1661" t="s">
        <v>188</v>
      </c>
      <c r="F1661">
        <v>5210010102</v>
      </c>
      <c r="G1661" s="13">
        <v>17000000</v>
      </c>
      <c r="I1661" t="s">
        <v>175</v>
      </c>
      <c r="J1661" t="s">
        <v>824</v>
      </c>
      <c r="K1661" t="s">
        <v>177</v>
      </c>
      <c r="L1661">
        <v>2000006339</v>
      </c>
    </row>
    <row r="1662" spans="3:12">
      <c r="C1662">
        <v>2100300025</v>
      </c>
      <c r="D1662">
        <v>6491000</v>
      </c>
      <c r="E1662" t="s">
        <v>188</v>
      </c>
      <c r="F1662">
        <v>5210010102</v>
      </c>
      <c r="G1662" s="13">
        <v>10820</v>
      </c>
      <c r="I1662" t="s">
        <v>175</v>
      </c>
      <c r="J1662" t="s">
        <v>825</v>
      </c>
      <c r="K1662" t="s">
        <v>177</v>
      </c>
      <c r="L1662">
        <v>2000003143</v>
      </c>
    </row>
    <row r="1663" spans="3:12">
      <c r="C1663">
        <v>2100300025</v>
      </c>
      <c r="D1663">
        <v>6491000</v>
      </c>
      <c r="E1663" t="s">
        <v>188</v>
      </c>
      <c r="F1663">
        <v>5210010102</v>
      </c>
      <c r="G1663" s="13">
        <v>13692000</v>
      </c>
      <c r="I1663" t="s">
        <v>175</v>
      </c>
      <c r="J1663" t="s">
        <v>826</v>
      </c>
      <c r="K1663" t="s">
        <v>177</v>
      </c>
      <c r="L1663">
        <v>2000004980</v>
      </c>
    </row>
    <row r="1664" spans="3:12">
      <c r="C1664">
        <v>2100300025</v>
      </c>
      <c r="D1664">
        <v>6491000</v>
      </c>
      <c r="E1664" t="s">
        <v>188</v>
      </c>
      <c r="F1664">
        <v>5210010102</v>
      </c>
      <c r="G1664" s="13">
        <v>37800</v>
      </c>
      <c r="I1664" t="s">
        <v>175</v>
      </c>
      <c r="J1664" t="s">
        <v>826</v>
      </c>
      <c r="K1664" t="s">
        <v>177</v>
      </c>
      <c r="L1664">
        <v>2000004981</v>
      </c>
    </row>
    <row r="1665" spans="3:12">
      <c r="C1665">
        <v>2100300025</v>
      </c>
      <c r="D1665">
        <v>6491000</v>
      </c>
      <c r="E1665" t="s">
        <v>188</v>
      </c>
      <c r="F1665">
        <v>5210010102</v>
      </c>
      <c r="G1665">
        <v>618</v>
      </c>
      <c r="I1665" t="s">
        <v>175</v>
      </c>
      <c r="J1665" t="s">
        <v>827</v>
      </c>
      <c r="K1665" t="s">
        <v>177</v>
      </c>
      <c r="L1665">
        <v>2000002298</v>
      </c>
    </row>
    <row r="1666" spans="3:12">
      <c r="C1666">
        <v>2100300025</v>
      </c>
      <c r="D1666">
        <v>6491000</v>
      </c>
      <c r="E1666" t="s">
        <v>188</v>
      </c>
      <c r="F1666">
        <v>5210010102</v>
      </c>
      <c r="G1666" s="13">
        <v>1071</v>
      </c>
      <c r="I1666" t="s">
        <v>175</v>
      </c>
      <c r="J1666" t="s">
        <v>827</v>
      </c>
      <c r="K1666" t="s">
        <v>177</v>
      </c>
      <c r="L1666">
        <v>2000002299</v>
      </c>
    </row>
    <row r="1667" spans="3:12">
      <c r="C1667">
        <v>2100300025</v>
      </c>
      <c r="D1667">
        <v>6491000</v>
      </c>
      <c r="E1667" t="s">
        <v>188</v>
      </c>
      <c r="F1667">
        <v>5210010102</v>
      </c>
      <c r="G1667" s="13">
        <v>3757</v>
      </c>
      <c r="I1667" t="s">
        <v>175</v>
      </c>
      <c r="J1667" t="s">
        <v>827</v>
      </c>
      <c r="K1667" t="s">
        <v>177</v>
      </c>
      <c r="L1667">
        <v>2000002300</v>
      </c>
    </row>
    <row r="1668" spans="3:12">
      <c r="C1668">
        <v>2100300025</v>
      </c>
      <c r="D1668">
        <v>6491000</v>
      </c>
      <c r="E1668" t="s">
        <v>188</v>
      </c>
      <c r="F1668">
        <v>5210010102</v>
      </c>
      <c r="G1668" s="13">
        <v>22500000</v>
      </c>
      <c r="I1668" t="s">
        <v>175</v>
      </c>
      <c r="J1668" t="s">
        <v>828</v>
      </c>
      <c r="K1668" t="s">
        <v>177</v>
      </c>
      <c r="L1668">
        <v>2000006611</v>
      </c>
    </row>
    <row r="1669" spans="3:12">
      <c r="C1669">
        <v>2100300025</v>
      </c>
      <c r="D1669">
        <v>6491000</v>
      </c>
      <c r="E1669" t="s">
        <v>188</v>
      </c>
      <c r="F1669">
        <v>5210010102</v>
      </c>
      <c r="G1669" s="13">
        <v>5500</v>
      </c>
      <c r="I1669" t="s">
        <v>175</v>
      </c>
      <c r="J1669" t="s">
        <v>829</v>
      </c>
      <c r="K1669" t="s">
        <v>177</v>
      </c>
      <c r="L1669">
        <v>2000006929</v>
      </c>
    </row>
    <row r="1670" spans="3:12">
      <c r="C1670">
        <v>2100300025</v>
      </c>
      <c r="D1670">
        <v>6491000</v>
      </c>
      <c r="E1670" t="s">
        <v>188</v>
      </c>
      <c r="F1670">
        <v>5210010102</v>
      </c>
      <c r="G1670" s="13">
        <v>1006</v>
      </c>
      <c r="I1670" t="s">
        <v>175</v>
      </c>
      <c r="J1670" t="s">
        <v>579</v>
      </c>
      <c r="K1670" t="s">
        <v>177</v>
      </c>
      <c r="L1670">
        <v>2000007657</v>
      </c>
    </row>
    <row r="1671" spans="3:12">
      <c r="C1671">
        <v>2100300025</v>
      </c>
      <c r="D1671">
        <v>6491000</v>
      </c>
      <c r="E1671" t="s">
        <v>188</v>
      </c>
      <c r="F1671">
        <v>5210010102</v>
      </c>
      <c r="G1671" s="13">
        <v>4473</v>
      </c>
      <c r="I1671" t="s">
        <v>175</v>
      </c>
      <c r="J1671" t="s">
        <v>579</v>
      </c>
      <c r="K1671" t="s">
        <v>177</v>
      </c>
      <c r="L1671">
        <v>2000007658</v>
      </c>
    </row>
    <row r="1672" spans="3:12">
      <c r="C1672">
        <v>2100300025</v>
      </c>
      <c r="D1672">
        <v>6491000</v>
      </c>
      <c r="E1672" t="s">
        <v>188</v>
      </c>
      <c r="F1672">
        <v>5210010102</v>
      </c>
      <c r="G1672" s="13">
        <v>4033</v>
      </c>
      <c r="I1672" t="s">
        <v>175</v>
      </c>
      <c r="J1672" t="s">
        <v>830</v>
      </c>
      <c r="K1672" t="s">
        <v>177</v>
      </c>
      <c r="L1672">
        <v>2000006524</v>
      </c>
    </row>
    <row r="1673" spans="3:12">
      <c r="C1673">
        <v>2100300025</v>
      </c>
      <c r="D1673">
        <v>6491000</v>
      </c>
      <c r="E1673" t="s">
        <v>188</v>
      </c>
      <c r="F1673">
        <v>5210010102</v>
      </c>
      <c r="G1673">
        <v>354</v>
      </c>
      <c r="I1673" t="s">
        <v>175</v>
      </c>
      <c r="J1673" t="s">
        <v>831</v>
      </c>
      <c r="K1673" t="s">
        <v>177</v>
      </c>
      <c r="L1673">
        <v>2000007368</v>
      </c>
    </row>
    <row r="1674" spans="3:12">
      <c r="C1674">
        <v>2100300025</v>
      </c>
      <c r="D1674">
        <v>6491000</v>
      </c>
      <c r="E1674" t="s">
        <v>188</v>
      </c>
      <c r="F1674">
        <v>5210010102</v>
      </c>
      <c r="G1674" s="13">
        <v>99900</v>
      </c>
      <c r="I1674" t="s">
        <v>175</v>
      </c>
      <c r="J1674" t="s">
        <v>832</v>
      </c>
      <c r="K1674" t="s">
        <v>177</v>
      </c>
      <c r="L1674">
        <v>2000007113</v>
      </c>
    </row>
    <row r="1675" spans="3:12">
      <c r="C1675">
        <v>2100300025</v>
      </c>
      <c r="D1675">
        <v>6491000</v>
      </c>
      <c r="E1675" t="s">
        <v>188</v>
      </c>
      <c r="F1675">
        <v>5210010102</v>
      </c>
      <c r="G1675" s="13">
        <v>1000</v>
      </c>
      <c r="I1675" t="s">
        <v>175</v>
      </c>
      <c r="J1675" t="s">
        <v>833</v>
      </c>
      <c r="K1675" t="s">
        <v>177</v>
      </c>
      <c r="L1675">
        <v>2000007512</v>
      </c>
    </row>
    <row r="1676" spans="3:12">
      <c r="C1676">
        <v>2100300025</v>
      </c>
      <c r="D1676">
        <v>6491000</v>
      </c>
      <c r="E1676" t="s">
        <v>188</v>
      </c>
      <c r="F1676">
        <v>5210010102</v>
      </c>
      <c r="G1676" s="13">
        <v>3121</v>
      </c>
      <c r="I1676" t="s">
        <v>175</v>
      </c>
      <c r="J1676" t="s">
        <v>833</v>
      </c>
      <c r="K1676" t="s">
        <v>177</v>
      </c>
      <c r="L1676">
        <v>2000007513</v>
      </c>
    </row>
    <row r="1677" spans="3:12">
      <c r="C1677">
        <v>2100300025</v>
      </c>
      <c r="D1677">
        <v>6491000</v>
      </c>
      <c r="E1677" t="s">
        <v>188</v>
      </c>
      <c r="F1677">
        <v>5210010102</v>
      </c>
      <c r="G1677">
        <v>567</v>
      </c>
      <c r="I1677" t="s">
        <v>175</v>
      </c>
      <c r="J1677" t="s">
        <v>563</v>
      </c>
      <c r="K1677" t="s">
        <v>177</v>
      </c>
      <c r="L1677">
        <v>2000007310</v>
      </c>
    </row>
    <row r="1678" spans="3:12">
      <c r="C1678">
        <v>2100300025</v>
      </c>
      <c r="D1678">
        <v>6491000</v>
      </c>
      <c r="E1678" t="s">
        <v>188</v>
      </c>
      <c r="F1678">
        <v>5210010102</v>
      </c>
      <c r="G1678" s="13">
        <v>1461</v>
      </c>
      <c r="I1678" t="s">
        <v>175</v>
      </c>
      <c r="J1678" t="s">
        <v>563</v>
      </c>
      <c r="K1678" t="s">
        <v>177</v>
      </c>
      <c r="L1678">
        <v>2000007311</v>
      </c>
    </row>
    <row r="1679" spans="3:12">
      <c r="C1679">
        <v>2100300025</v>
      </c>
      <c r="D1679">
        <v>6491000</v>
      </c>
      <c r="E1679" t="s">
        <v>188</v>
      </c>
      <c r="F1679">
        <v>5210010102</v>
      </c>
      <c r="G1679" s="13">
        <v>4791</v>
      </c>
      <c r="I1679" t="s">
        <v>175</v>
      </c>
      <c r="J1679" t="s">
        <v>563</v>
      </c>
      <c r="K1679" t="s">
        <v>177</v>
      </c>
      <c r="L1679">
        <v>2000007312</v>
      </c>
    </row>
    <row r="1680" spans="3:12">
      <c r="C1680">
        <v>2100300025</v>
      </c>
      <c r="D1680">
        <v>6491000</v>
      </c>
      <c r="E1680" t="s">
        <v>188</v>
      </c>
      <c r="F1680">
        <v>5210010102</v>
      </c>
      <c r="G1680" s="13">
        <v>20000000</v>
      </c>
      <c r="I1680" t="s">
        <v>175</v>
      </c>
      <c r="J1680" t="s">
        <v>834</v>
      </c>
      <c r="K1680" t="s">
        <v>177</v>
      </c>
      <c r="L1680">
        <v>2000007732</v>
      </c>
    </row>
    <row r="1681" spans="3:12">
      <c r="C1681">
        <v>2100300025</v>
      </c>
      <c r="D1681">
        <v>6491000</v>
      </c>
      <c r="E1681" t="s">
        <v>188</v>
      </c>
      <c r="F1681">
        <v>5210010102</v>
      </c>
      <c r="G1681" s="13">
        <v>1367</v>
      </c>
      <c r="I1681" t="s">
        <v>175</v>
      </c>
      <c r="J1681" t="s">
        <v>834</v>
      </c>
      <c r="K1681" t="s">
        <v>177</v>
      </c>
      <c r="L1681">
        <v>2000007733</v>
      </c>
    </row>
    <row r="1682" spans="3:12">
      <c r="C1682">
        <v>2100300025</v>
      </c>
      <c r="D1682">
        <v>6491000</v>
      </c>
      <c r="E1682" t="s">
        <v>188</v>
      </c>
      <c r="F1682">
        <v>5210010102</v>
      </c>
      <c r="G1682" s="13">
        <v>1064</v>
      </c>
      <c r="I1682" t="s">
        <v>175</v>
      </c>
      <c r="J1682" t="s">
        <v>835</v>
      </c>
      <c r="K1682" t="s">
        <v>177</v>
      </c>
      <c r="L1682">
        <v>2000008606</v>
      </c>
    </row>
    <row r="1683" spans="3:12">
      <c r="C1683">
        <v>2100300025</v>
      </c>
      <c r="D1683">
        <v>6491000</v>
      </c>
      <c r="E1683" t="s">
        <v>188</v>
      </c>
      <c r="F1683">
        <v>5210010102</v>
      </c>
      <c r="G1683" s="13">
        <v>24970</v>
      </c>
      <c r="I1683" t="s">
        <v>175</v>
      </c>
      <c r="J1683" t="s">
        <v>836</v>
      </c>
      <c r="K1683" t="s">
        <v>177</v>
      </c>
      <c r="L1683">
        <v>2000007901</v>
      </c>
    </row>
    <row r="1684" spans="3:12">
      <c r="C1684">
        <v>2100300025</v>
      </c>
      <c r="D1684">
        <v>6491000</v>
      </c>
      <c r="E1684" t="s">
        <v>188</v>
      </c>
      <c r="F1684">
        <v>5210010102</v>
      </c>
      <c r="G1684" s="13">
        <v>8210</v>
      </c>
      <c r="I1684" t="s">
        <v>175</v>
      </c>
      <c r="J1684" t="s">
        <v>837</v>
      </c>
      <c r="K1684" t="s">
        <v>177</v>
      </c>
      <c r="L1684">
        <v>2000005761</v>
      </c>
    </row>
    <row r="1685" spans="3:12">
      <c r="C1685">
        <v>2100300025</v>
      </c>
      <c r="D1685">
        <v>6491000</v>
      </c>
      <c r="E1685" t="s">
        <v>188</v>
      </c>
      <c r="F1685">
        <v>5210010102</v>
      </c>
      <c r="G1685">
        <v>10</v>
      </c>
      <c r="I1685" t="s">
        <v>175</v>
      </c>
      <c r="J1685" t="s">
        <v>838</v>
      </c>
      <c r="K1685" t="s">
        <v>177</v>
      </c>
      <c r="L1685">
        <v>2000008534</v>
      </c>
    </row>
    <row r="1686" spans="3:12">
      <c r="C1686">
        <v>2100300025</v>
      </c>
      <c r="D1686">
        <v>6491000</v>
      </c>
      <c r="E1686" t="s">
        <v>188</v>
      </c>
      <c r="F1686">
        <v>5210010102</v>
      </c>
      <c r="G1686">
        <v>645</v>
      </c>
      <c r="I1686" t="s">
        <v>175</v>
      </c>
      <c r="J1686" t="s">
        <v>838</v>
      </c>
      <c r="K1686" t="s">
        <v>177</v>
      </c>
      <c r="L1686">
        <v>2000008535</v>
      </c>
    </row>
    <row r="1687" spans="3:12">
      <c r="C1687">
        <v>2100300025</v>
      </c>
      <c r="D1687">
        <v>6491000</v>
      </c>
      <c r="E1687" t="s">
        <v>188</v>
      </c>
      <c r="F1687">
        <v>5210010102</v>
      </c>
      <c r="G1687" s="13">
        <v>6677</v>
      </c>
      <c r="I1687" t="s">
        <v>175</v>
      </c>
      <c r="J1687" t="s">
        <v>838</v>
      </c>
      <c r="K1687" t="s">
        <v>177</v>
      </c>
      <c r="L1687">
        <v>2000008536</v>
      </c>
    </row>
    <row r="1688" spans="3:12">
      <c r="C1688">
        <v>2100300025</v>
      </c>
      <c r="D1688">
        <v>6491000</v>
      </c>
      <c r="E1688" t="s">
        <v>188</v>
      </c>
      <c r="F1688">
        <v>5210010102</v>
      </c>
      <c r="G1688" s="13">
        <v>1965</v>
      </c>
      <c r="I1688" t="s">
        <v>175</v>
      </c>
      <c r="J1688" t="s">
        <v>838</v>
      </c>
      <c r="K1688" t="s">
        <v>177</v>
      </c>
      <c r="L1688">
        <v>2000008537</v>
      </c>
    </row>
    <row r="1689" spans="3:12">
      <c r="C1689">
        <v>2100300025</v>
      </c>
      <c r="D1689">
        <v>6491000</v>
      </c>
      <c r="E1689" t="s">
        <v>188</v>
      </c>
      <c r="F1689">
        <v>5210010102</v>
      </c>
      <c r="G1689">
        <v>858.06</v>
      </c>
      <c r="I1689" t="s">
        <v>175</v>
      </c>
      <c r="J1689" t="s">
        <v>839</v>
      </c>
      <c r="K1689" t="s">
        <v>177</v>
      </c>
      <c r="L1689">
        <v>2000007819</v>
      </c>
    </row>
    <row r="1690" spans="3:12">
      <c r="C1690">
        <v>2100300025</v>
      </c>
      <c r="D1690">
        <v>6491000</v>
      </c>
      <c r="E1690" t="s">
        <v>188</v>
      </c>
      <c r="F1690">
        <v>5210010102</v>
      </c>
      <c r="G1690">
        <v>269</v>
      </c>
      <c r="I1690" t="s">
        <v>175</v>
      </c>
      <c r="J1690" t="s">
        <v>581</v>
      </c>
      <c r="K1690" t="s">
        <v>177</v>
      </c>
      <c r="L1690">
        <v>2000008718</v>
      </c>
    </row>
    <row r="1691" spans="3:12">
      <c r="C1691">
        <v>2100300025</v>
      </c>
      <c r="D1691">
        <v>6491000</v>
      </c>
      <c r="E1691" t="s">
        <v>188</v>
      </c>
      <c r="F1691">
        <v>5210010102</v>
      </c>
      <c r="G1691" s="13">
        <v>3126</v>
      </c>
      <c r="I1691" t="s">
        <v>175</v>
      </c>
      <c r="J1691" t="s">
        <v>581</v>
      </c>
      <c r="K1691" t="s">
        <v>177</v>
      </c>
      <c r="L1691">
        <v>2000008719</v>
      </c>
    </row>
    <row r="1692" spans="3:12">
      <c r="C1692">
        <v>2100300025</v>
      </c>
      <c r="D1692">
        <v>6491000</v>
      </c>
      <c r="E1692" t="s">
        <v>188</v>
      </c>
      <c r="F1692">
        <v>5210010102</v>
      </c>
      <c r="G1692">
        <v>504</v>
      </c>
      <c r="I1692" t="s">
        <v>175</v>
      </c>
      <c r="J1692" t="s">
        <v>581</v>
      </c>
      <c r="K1692" t="s">
        <v>177</v>
      </c>
      <c r="L1692">
        <v>2000008720</v>
      </c>
    </row>
    <row r="1693" spans="3:12">
      <c r="C1693">
        <v>2100300025</v>
      </c>
      <c r="D1693">
        <v>6491000</v>
      </c>
      <c r="E1693" t="s">
        <v>188</v>
      </c>
      <c r="F1693">
        <v>5210010102</v>
      </c>
      <c r="G1693">
        <v>87</v>
      </c>
      <c r="I1693" t="s">
        <v>175</v>
      </c>
      <c r="J1693" t="s">
        <v>840</v>
      </c>
      <c r="K1693" t="s">
        <v>177</v>
      </c>
      <c r="L1693">
        <v>2000007571</v>
      </c>
    </row>
    <row r="1694" spans="3:12">
      <c r="C1694">
        <v>2100300025</v>
      </c>
      <c r="D1694">
        <v>6491000</v>
      </c>
      <c r="E1694" t="s">
        <v>188</v>
      </c>
      <c r="F1694">
        <v>5210010102</v>
      </c>
      <c r="G1694" s="13">
        <v>27800000</v>
      </c>
      <c r="I1694" t="s">
        <v>175</v>
      </c>
      <c r="J1694" t="s">
        <v>840</v>
      </c>
      <c r="K1694" t="s">
        <v>177</v>
      </c>
      <c r="L1694">
        <v>2000007572</v>
      </c>
    </row>
    <row r="1695" spans="3:12">
      <c r="C1695">
        <v>2100300025</v>
      </c>
      <c r="D1695">
        <v>6491000</v>
      </c>
      <c r="E1695" t="s">
        <v>188</v>
      </c>
      <c r="F1695">
        <v>5210010102</v>
      </c>
      <c r="G1695" s="13">
        <v>2884</v>
      </c>
      <c r="I1695" t="s">
        <v>175</v>
      </c>
      <c r="J1695" t="s">
        <v>840</v>
      </c>
      <c r="K1695" t="s">
        <v>177</v>
      </c>
      <c r="L1695">
        <v>2000007573</v>
      </c>
    </row>
    <row r="1696" spans="3:12">
      <c r="C1696">
        <v>2100300025</v>
      </c>
      <c r="D1696">
        <v>6491000</v>
      </c>
      <c r="E1696" t="s">
        <v>188</v>
      </c>
      <c r="F1696">
        <v>5210010102</v>
      </c>
      <c r="G1696" s="13">
        <v>96480</v>
      </c>
      <c r="I1696" t="s">
        <v>175</v>
      </c>
      <c r="J1696" t="s">
        <v>841</v>
      </c>
      <c r="K1696" t="s">
        <v>177</v>
      </c>
      <c r="L1696">
        <v>2000009201</v>
      </c>
    </row>
    <row r="1697" spans="3:12">
      <c r="C1697">
        <v>2100300025</v>
      </c>
      <c r="D1697">
        <v>6491000</v>
      </c>
      <c r="E1697" t="s">
        <v>188</v>
      </c>
      <c r="F1697">
        <v>5210010102</v>
      </c>
      <c r="G1697" s="13">
        <v>2084</v>
      </c>
      <c r="I1697" t="s">
        <v>175</v>
      </c>
      <c r="J1697" t="s">
        <v>842</v>
      </c>
      <c r="K1697" t="s">
        <v>177</v>
      </c>
      <c r="L1697">
        <v>2000008873</v>
      </c>
    </row>
    <row r="1698" spans="3:12">
      <c r="C1698">
        <v>2100300025</v>
      </c>
      <c r="D1698">
        <v>6491000</v>
      </c>
      <c r="E1698" t="s">
        <v>188</v>
      </c>
      <c r="F1698">
        <v>5210010102</v>
      </c>
      <c r="G1698" s="13">
        <v>9139</v>
      </c>
      <c r="I1698" t="s">
        <v>175</v>
      </c>
      <c r="J1698" t="s">
        <v>842</v>
      </c>
      <c r="K1698" t="s">
        <v>177</v>
      </c>
      <c r="L1698">
        <v>2000008874</v>
      </c>
    </row>
    <row r="1699" spans="3:12">
      <c r="C1699">
        <v>2100300025</v>
      </c>
      <c r="D1699">
        <v>6491000</v>
      </c>
      <c r="E1699" t="s">
        <v>188</v>
      </c>
      <c r="F1699">
        <v>5210010102</v>
      </c>
      <c r="G1699">
        <v>633</v>
      </c>
      <c r="I1699" t="s">
        <v>175</v>
      </c>
      <c r="J1699" t="s">
        <v>842</v>
      </c>
      <c r="K1699" t="s">
        <v>177</v>
      </c>
      <c r="L1699">
        <v>2000008875</v>
      </c>
    </row>
    <row r="1700" spans="3:12">
      <c r="C1700">
        <v>2100300025</v>
      </c>
      <c r="D1700">
        <v>6491000</v>
      </c>
      <c r="E1700" t="s">
        <v>188</v>
      </c>
      <c r="F1700">
        <v>5210010102</v>
      </c>
      <c r="G1700">
        <v>4</v>
      </c>
      <c r="I1700" t="s">
        <v>175</v>
      </c>
      <c r="J1700" t="s">
        <v>843</v>
      </c>
      <c r="K1700" t="s">
        <v>177</v>
      </c>
      <c r="L1700">
        <v>2000009156</v>
      </c>
    </row>
    <row r="1701" spans="3:12">
      <c r="C1701">
        <v>2100300025</v>
      </c>
      <c r="D1701">
        <v>6491000</v>
      </c>
      <c r="E1701" t="s">
        <v>188</v>
      </c>
      <c r="F1701">
        <v>5210010102</v>
      </c>
      <c r="G1701">
        <v>431</v>
      </c>
      <c r="I1701" t="s">
        <v>175</v>
      </c>
      <c r="J1701" t="s">
        <v>583</v>
      </c>
      <c r="K1701" t="s">
        <v>177</v>
      </c>
      <c r="L1701">
        <v>2000008477</v>
      </c>
    </row>
    <row r="1702" spans="3:12">
      <c r="C1702">
        <v>2100300025</v>
      </c>
      <c r="D1702">
        <v>6491000</v>
      </c>
      <c r="E1702" t="s">
        <v>188</v>
      </c>
      <c r="F1702">
        <v>5210010102</v>
      </c>
      <c r="G1702" s="13">
        <v>5539</v>
      </c>
      <c r="I1702" t="s">
        <v>175</v>
      </c>
      <c r="J1702" t="s">
        <v>583</v>
      </c>
      <c r="K1702" t="s">
        <v>177</v>
      </c>
      <c r="L1702">
        <v>2000008478</v>
      </c>
    </row>
    <row r="1703" spans="3:12">
      <c r="C1703">
        <v>2100300025</v>
      </c>
      <c r="D1703">
        <v>6491000</v>
      </c>
      <c r="E1703" t="s">
        <v>188</v>
      </c>
      <c r="F1703">
        <v>5210010102</v>
      </c>
      <c r="G1703" s="13">
        <v>1279</v>
      </c>
      <c r="I1703" t="s">
        <v>175</v>
      </c>
      <c r="J1703" t="s">
        <v>844</v>
      </c>
      <c r="K1703" t="s">
        <v>177</v>
      </c>
      <c r="L1703">
        <v>2000009328</v>
      </c>
    </row>
    <row r="1704" spans="3:12">
      <c r="C1704">
        <v>2100300025</v>
      </c>
      <c r="D1704">
        <v>6491000</v>
      </c>
      <c r="E1704" t="s">
        <v>188</v>
      </c>
      <c r="F1704">
        <v>5210010102</v>
      </c>
      <c r="G1704" s="13">
        <v>3955</v>
      </c>
      <c r="I1704" t="s">
        <v>175</v>
      </c>
      <c r="J1704" t="s">
        <v>845</v>
      </c>
      <c r="K1704" t="s">
        <v>177</v>
      </c>
      <c r="L1704">
        <v>2000009438</v>
      </c>
    </row>
    <row r="1705" spans="3:12">
      <c r="C1705">
        <v>2100300025</v>
      </c>
      <c r="D1705">
        <v>6491000</v>
      </c>
      <c r="E1705" t="s">
        <v>188</v>
      </c>
      <c r="F1705">
        <v>5210010102</v>
      </c>
      <c r="G1705" s="13">
        <v>2752</v>
      </c>
      <c r="I1705" t="s">
        <v>175</v>
      </c>
      <c r="J1705" t="s">
        <v>846</v>
      </c>
      <c r="K1705" t="s">
        <v>177</v>
      </c>
      <c r="L1705">
        <v>2000010404</v>
      </c>
    </row>
    <row r="1706" spans="3:12">
      <c r="C1706">
        <v>2100300025</v>
      </c>
      <c r="D1706">
        <v>6491000</v>
      </c>
      <c r="E1706" t="s">
        <v>188</v>
      </c>
      <c r="F1706">
        <v>5210010102</v>
      </c>
      <c r="G1706" s="13">
        <v>18318</v>
      </c>
      <c r="I1706" t="s">
        <v>175</v>
      </c>
      <c r="J1706" t="s">
        <v>846</v>
      </c>
      <c r="K1706" t="s">
        <v>177</v>
      </c>
      <c r="L1706">
        <v>2000010405</v>
      </c>
    </row>
    <row r="1707" spans="3:12">
      <c r="C1707">
        <v>2100300025</v>
      </c>
      <c r="D1707">
        <v>6491000</v>
      </c>
      <c r="E1707" t="s">
        <v>188</v>
      </c>
      <c r="F1707">
        <v>5210010102</v>
      </c>
      <c r="G1707" s="13">
        <v>3125</v>
      </c>
      <c r="I1707" t="s">
        <v>175</v>
      </c>
      <c r="J1707" t="s">
        <v>846</v>
      </c>
      <c r="K1707" t="s">
        <v>177</v>
      </c>
      <c r="L1707">
        <v>2000010406</v>
      </c>
    </row>
    <row r="1708" spans="3:12">
      <c r="C1708">
        <v>2100300025</v>
      </c>
      <c r="D1708">
        <v>6491000</v>
      </c>
      <c r="E1708" t="s">
        <v>188</v>
      </c>
      <c r="F1708">
        <v>5210010102</v>
      </c>
      <c r="G1708" s="13">
        <v>1445</v>
      </c>
      <c r="I1708" t="s">
        <v>175</v>
      </c>
      <c r="J1708" t="s">
        <v>847</v>
      </c>
      <c r="K1708" t="s">
        <v>177</v>
      </c>
      <c r="L1708">
        <v>2000009741</v>
      </c>
    </row>
    <row r="1709" spans="3:12">
      <c r="C1709">
        <v>2100300025</v>
      </c>
      <c r="D1709">
        <v>6491000</v>
      </c>
      <c r="E1709" t="s">
        <v>188</v>
      </c>
      <c r="F1709">
        <v>5210010102</v>
      </c>
      <c r="G1709">
        <v>420</v>
      </c>
      <c r="I1709" t="s">
        <v>175</v>
      </c>
      <c r="J1709" t="s">
        <v>848</v>
      </c>
      <c r="K1709" t="s">
        <v>177</v>
      </c>
      <c r="L1709">
        <v>2000008693</v>
      </c>
    </row>
    <row r="1710" spans="3:12">
      <c r="C1710">
        <v>2100300025</v>
      </c>
      <c r="D1710">
        <v>6491000</v>
      </c>
      <c r="E1710" t="s">
        <v>188</v>
      </c>
      <c r="F1710">
        <v>5210010102</v>
      </c>
      <c r="G1710" s="13">
        <v>30000000</v>
      </c>
      <c r="I1710" t="s">
        <v>175</v>
      </c>
      <c r="J1710" t="s">
        <v>849</v>
      </c>
      <c r="K1710" t="s">
        <v>177</v>
      </c>
      <c r="L1710">
        <v>2000008949</v>
      </c>
    </row>
    <row r="1711" spans="3:12">
      <c r="C1711">
        <v>2100300025</v>
      </c>
      <c r="D1711">
        <v>6491000</v>
      </c>
      <c r="E1711" t="s">
        <v>188</v>
      </c>
      <c r="F1711">
        <v>5210010102</v>
      </c>
      <c r="G1711">
        <v>317</v>
      </c>
      <c r="I1711" t="s">
        <v>175</v>
      </c>
      <c r="J1711" t="s">
        <v>585</v>
      </c>
      <c r="K1711" t="s">
        <v>177</v>
      </c>
      <c r="L1711">
        <v>2000010736</v>
      </c>
    </row>
    <row r="1712" spans="3:12">
      <c r="C1712">
        <v>2100300025</v>
      </c>
      <c r="D1712">
        <v>6491000</v>
      </c>
      <c r="E1712" t="s">
        <v>188</v>
      </c>
      <c r="F1712">
        <v>5210010102</v>
      </c>
      <c r="G1712" s="13">
        <v>5048</v>
      </c>
      <c r="I1712" t="s">
        <v>175</v>
      </c>
      <c r="J1712" t="s">
        <v>585</v>
      </c>
      <c r="K1712" t="s">
        <v>177</v>
      </c>
      <c r="L1712">
        <v>2000010737</v>
      </c>
    </row>
    <row r="1713" spans="3:12">
      <c r="C1713">
        <v>2100300025</v>
      </c>
      <c r="D1713">
        <v>6491000</v>
      </c>
      <c r="E1713" t="s">
        <v>188</v>
      </c>
      <c r="F1713">
        <v>5210010102</v>
      </c>
      <c r="G1713" s="13">
        <v>3856</v>
      </c>
      <c r="I1713" t="s">
        <v>175</v>
      </c>
      <c r="J1713" t="s">
        <v>850</v>
      </c>
      <c r="K1713" t="s">
        <v>177</v>
      </c>
      <c r="L1713">
        <v>2000004199</v>
      </c>
    </row>
    <row r="1714" spans="3:12">
      <c r="C1714">
        <v>2100300025</v>
      </c>
      <c r="D1714">
        <v>6491000</v>
      </c>
      <c r="E1714" t="s">
        <v>188</v>
      </c>
      <c r="F1714">
        <v>5210010102</v>
      </c>
      <c r="G1714" s="13">
        <v>1537</v>
      </c>
      <c r="I1714" t="s">
        <v>175</v>
      </c>
      <c r="J1714" t="s">
        <v>851</v>
      </c>
      <c r="K1714" t="s">
        <v>177</v>
      </c>
      <c r="L1714">
        <v>2000009875</v>
      </c>
    </row>
    <row r="1715" spans="3:12">
      <c r="C1715">
        <v>2100300025</v>
      </c>
      <c r="D1715">
        <v>6491000</v>
      </c>
      <c r="E1715" t="s">
        <v>188</v>
      </c>
      <c r="F1715">
        <v>5210010102</v>
      </c>
      <c r="G1715" s="13">
        <v>2585</v>
      </c>
      <c r="I1715" t="s">
        <v>175</v>
      </c>
      <c r="J1715" t="s">
        <v>851</v>
      </c>
      <c r="K1715" t="s">
        <v>177</v>
      </c>
      <c r="L1715">
        <v>2000009876</v>
      </c>
    </row>
    <row r="1716" spans="3:12">
      <c r="C1716">
        <v>2100300025</v>
      </c>
      <c r="D1716">
        <v>6491000</v>
      </c>
      <c r="E1716" t="s">
        <v>188</v>
      </c>
      <c r="F1716">
        <v>5210010102</v>
      </c>
      <c r="G1716" s="13">
        <v>13685</v>
      </c>
      <c r="I1716" t="s">
        <v>175</v>
      </c>
      <c r="J1716" t="s">
        <v>851</v>
      </c>
      <c r="K1716" t="s">
        <v>177</v>
      </c>
      <c r="L1716">
        <v>2000009877</v>
      </c>
    </row>
    <row r="1717" spans="3:12">
      <c r="C1717">
        <v>2100300025</v>
      </c>
      <c r="D1717">
        <v>6491000</v>
      </c>
      <c r="E1717" t="s">
        <v>188</v>
      </c>
      <c r="F1717">
        <v>5210010102</v>
      </c>
      <c r="G1717" s="13">
        <v>153986</v>
      </c>
      <c r="I1717" t="s">
        <v>175</v>
      </c>
      <c r="J1717" t="s">
        <v>851</v>
      </c>
      <c r="K1717" t="s">
        <v>177</v>
      </c>
      <c r="L1717">
        <v>2000009878</v>
      </c>
    </row>
    <row r="1718" spans="3:12">
      <c r="C1718">
        <v>2100300025</v>
      </c>
      <c r="D1718">
        <v>6491000</v>
      </c>
      <c r="E1718" t="s">
        <v>188</v>
      </c>
      <c r="F1718">
        <v>5210010102</v>
      </c>
      <c r="G1718" s="13">
        <v>58000</v>
      </c>
      <c r="I1718" t="s">
        <v>175</v>
      </c>
      <c r="J1718" t="s">
        <v>852</v>
      </c>
      <c r="K1718" t="s">
        <v>177</v>
      </c>
      <c r="L1718">
        <v>2000009984</v>
      </c>
    </row>
    <row r="1719" spans="3:12">
      <c r="C1719">
        <v>2100300025</v>
      </c>
      <c r="D1719">
        <v>6491000</v>
      </c>
      <c r="E1719" t="s">
        <v>188</v>
      </c>
      <c r="F1719">
        <v>5210010102</v>
      </c>
      <c r="G1719" s="13">
        <v>30000000</v>
      </c>
      <c r="I1719" t="s">
        <v>175</v>
      </c>
      <c r="J1719" t="s">
        <v>853</v>
      </c>
      <c r="K1719" t="s">
        <v>177</v>
      </c>
      <c r="L1719">
        <v>2000007952</v>
      </c>
    </row>
    <row r="1720" spans="3:12">
      <c r="C1720">
        <v>2100300025</v>
      </c>
      <c r="D1720">
        <v>6491000</v>
      </c>
      <c r="E1720" t="s">
        <v>188</v>
      </c>
      <c r="F1720">
        <v>5210010102</v>
      </c>
      <c r="G1720" s="13">
        <v>1433</v>
      </c>
      <c r="I1720" t="s">
        <v>175</v>
      </c>
      <c r="J1720" t="s">
        <v>854</v>
      </c>
      <c r="K1720" t="s">
        <v>177</v>
      </c>
      <c r="L1720">
        <v>2000011444</v>
      </c>
    </row>
    <row r="1721" spans="3:12">
      <c r="C1721">
        <v>2100300025</v>
      </c>
      <c r="D1721">
        <v>6491000</v>
      </c>
      <c r="E1721" t="s">
        <v>188</v>
      </c>
      <c r="F1721">
        <v>5210010102</v>
      </c>
      <c r="G1721" s="13">
        <v>29677.42</v>
      </c>
      <c r="I1721" t="s">
        <v>175</v>
      </c>
      <c r="J1721" t="s">
        <v>855</v>
      </c>
      <c r="K1721" t="s">
        <v>177</v>
      </c>
      <c r="L1721">
        <v>2000010838</v>
      </c>
    </row>
    <row r="1722" spans="3:12">
      <c r="C1722">
        <v>2100300025</v>
      </c>
      <c r="D1722">
        <v>6491000</v>
      </c>
      <c r="E1722" t="s">
        <v>188</v>
      </c>
      <c r="F1722">
        <v>5210010102</v>
      </c>
      <c r="G1722">
        <v>167</v>
      </c>
      <c r="I1722" t="s">
        <v>175</v>
      </c>
      <c r="J1722" t="s">
        <v>856</v>
      </c>
      <c r="K1722" t="s">
        <v>177</v>
      </c>
      <c r="L1722">
        <v>2000009065</v>
      </c>
    </row>
    <row r="1723" spans="3:12">
      <c r="C1723">
        <v>2100300025</v>
      </c>
      <c r="D1723">
        <v>6491000</v>
      </c>
      <c r="E1723" t="s">
        <v>188</v>
      </c>
      <c r="F1723">
        <v>5210010102</v>
      </c>
      <c r="G1723" s="13">
        <v>5758</v>
      </c>
      <c r="I1723" t="s">
        <v>175</v>
      </c>
      <c r="J1723" t="s">
        <v>856</v>
      </c>
      <c r="K1723" t="s">
        <v>177</v>
      </c>
      <c r="L1723">
        <v>2000009066</v>
      </c>
    </row>
    <row r="1724" spans="3:12">
      <c r="C1724">
        <v>2100300025</v>
      </c>
      <c r="D1724">
        <v>6491000</v>
      </c>
      <c r="E1724" t="s">
        <v>188</v>
      </c>
      <c r="F1724">
        <v>5210010102</v>
      </c>
      <c r="G1724" s="13">
        <v>1433</v>
      </c>
      <c r="I1724" t="s">
        <v>175</v>
      </c>
      <c r="J1724" t="s">
        <v>857</v>
      </c>
      <c r="K1724" t="s">
        <v>177</v>
      </c>
      <c r="L1724">
        <v>2000011259</v>
      </c>
    </row>
    <row r="1725" spans="3:12">
      <c r="C1725">
        <v>2100300025</v>
      </c>
      <c r="D1725">
        <v>6491000</v>
      </c>
      <c r="E1725" t="s">
        <v>188</v>
      </c>
      <c r="F1725">
        <v>5210010102</v>
      </c>
      <c r="G1725" s="13">
        <v>2420</v>
      </c>
      <c r="I1725" t="s">
        <v>175</v>
      </c>
      <c r="J1725" t="s">
        <v>858</v>
      </c>
      <c r="K1725" t="s">
        <v>177</v>
      </c>
      <c r="L1725">
        <v>2000012415</v>
      </c>
    </row>
    <row r="1726" spans="3:12">
      <c r="C1726">
        <v>2100300025</v>
      </c>
      <c r="D1726">
        <v>6491000</v>
      </c>
      <c r="E1726" t="s">
        <v>188</v>
      </c>
      <c r="F1726">
        <v>5210010102</v>
      </c>
      <c r="G1726" s="13">
        <v>11235</v>
      </c>
      <c r="I1726" t="s">
        <v>175</v>
      </c>
      <c r="J1726" t="s">
        <v>858</v>
      </c>
      <c r="K1726" t="s">
        <v>177</v>
      </c>
      <c r="L1726">
        <v>2000012416</v>
      </c>
    </row>
    <row r="1727" spans="3:12">
      <c r="C1727">
        <v>2100300025</v>
      </c>
      <c r="D1727">
        <v>6491000</v>
      </c>
      <c r="E1727" t="s">
        <v>188</v>
      </c>
      <c r="F1727">
        <v>5210010102</v>
      </c>
      <c r="G1727" s="13">
        <v>1380</v>
      </c>
      <c r="I1727" t="s">
        <v>175</v>
      </c>
      <c r="J1727" t="s">
        <v>858</v>
      </c>
      <c r="K1727" t="s">
        <v>177</v>
      </c>
      <c r="L1727">
        <v>2000012417</v>
      </c>
    </row>
    <row r="1728" spans="3:12">
      <c r="C1728">
        <v>2100300025</v>
      </c>
      <c r="D1728">
        <v>6491000</v>
      </c>
      <c r="E1728" t="s">
        <v>188</v>
      </c>
      <c r="F1728">
        <v>5210010102</v>
      </c>
      <c r="G1728" s="13">
        <v>3925.16</v>
      </c>
      <c r="I1728" t="s">
        <v>175</v>
      </c>
      <c r="J1728" t="s">
        <v>859</v>
      </c>
      <c r="K1728" t="s">
        <v>177</v>
      </c>
      <c r="L1728">
        <v>2000011806</v>
      </c>
    </row>
    <row r="1729" spans="3:12">
      <c r="C1729">
        <v>2100300025</v>
      </c>
      <c r="D1729">
        <v>6419000</v>
      </c>
      <c r="E1729" t="s">
        <v>188</v>
      </c>
      <c r="F1729">
        <v>5210010103</v>
      </c>
      <c r="G1729" s="13">
        <v>5000</v>
      </c>
      <c r="I1729" t="s">
        <v>175</v>
      </c>
      <c r="J1729" t="s">
        <v>859</v>
      </c>
      <c r="K1729" t="s">
        <v>178</v>
      </c>
      <c r="L1729">
        <v>2000011807</v>
      </c>
    </row>
    <row r="1730" spans="3:12">
      <c r="C1730">
        <v>2100300025</v>
      </c>
      <c r="D1730">
        <v>6491000</v>
      </c>
      <c r="E1730" t="s">
        <v>188</v>
      </c>
      <c r="F1730">
        <v>5210010102</v>
      </c>
      <c r="G1730" s="13">
        <v>3879</v>
      </c>
      <c r="I1730" t="s">
        <v>175</v>
      </c>
      <c r="J1730" t="s">
        <v>860</v>
      </c>
      <c r="K1730" t="s">
        <v>177</v>
      </c>
      <c r="L1730">
        <v>2000010661</v>
      </c>
    </row>
    <row r="1731" spans="3:12">
      <c r="C1731">
        <v>2100300025</v>
      </c>
      <c r="D1731">
        <v>6491000</v>
      </c>
      <c r="E1731" t="s">
        <v>188</v>
      </c>
      <c r="F1731">
        <v>5210010102</v>
      </c>
      <c r="G1731" s="13">
        <v>26000000</v>
      </c>
      <c r="I1731" t="s">
        <v>175</v>
      </c>
      <c r="J1731" t="s">
        <v>861</v>
      </c>
      <c r="K1731" t="s">
        <v>177</v>
      </c>
      <c r="L1731">
        <v>2000011555</v>
      </c>
    </row>
    <row r="1732" spans="3:12">
      <c r="C1732">
        <v>2100300025</v>
      </c>
      <c r="D1732">
        <v>6491000</v>
      </c>
      <c r="E1732" t="s">
        <v>188</v>
      </c>
      <c r="F1732">
        <v>5210010102</v>
      </c>
      <c r="G1732" s="13">
        <v>37000</v>
      </c>
      <c r="I1732" t="s">
        <v>175</v>
      </c>
      <c r="J1732" t="s">
        <v>861</v>
      </c>
      <c r="K1732" t="s">
        <v>177</v>
      </c>
      <c r="L1732">
        <v>2000011556</v>
      </c>
    </row>
    <row r="1733" spans="3:12">
      <c r="C1733">
        <v>2100300025</v>
      </c>
      <c r="D1733">
        <v>6491000</v>
      </c>
      <c r="E1733" t="s">
        <v>188</v>
      </c>
      <c r="F1733">
        <v>5210010102</v>
      </c>
      <c r="G1733" s="13">
        <v>4728</v>
      </c>
      <c r="I1733" t="s">
        <v>175</v>
      </c>
      <c r="J1733" t="s">
        <v>589</v>
      </c>
      <c r="K1733" t="s">
        <v>177</v>
      </c>
      <c r="L1733">
        <v>2000012589</v>
      </c>
    </row>
    <row r="1734" spans="3:12">
      <c r="C1734">
        <v>2100300025</v>
      </c>
      <c r="D1734">
        <v>6491000</v>
      </c>
      <c r="E1734" t="s">
        <v>188</v>
      </c>
      <c r="F1734">
        <v>5210010102</v>
      </c>
      <c r="G1734" s="13">
        <v>3055</v>
      </c>
      <c r="I1734" t="s">
        <v>175</v>
      </c>
      <c r="J1734" t="s">
        <v>589</v>
      </c>
      <c r="K1734" t="s">
        <v>177</v>
      </c>
      <c r="L1734">
        <v>2000012590</v>
      </c>
    </row>
    <row r="1735" spans="3:12">
      <c r="C1735">
        <v>2100300025</v>
      </c>
      <c r="D1735">
        <v>6491000</v>
      </c>
      <c r="E1735" t="s">
        <v>188</v>
      </c>
      <c r="F1735">
        <v>5210010102</v>
      </c>
      <c r="G1735">
        <v>554</v>
      </c>
      <c r="I1735" t="s">
        <v>175</v>
      </c>
      <c r="J1735" t="s">
        <v>558</v>
      </c>
      <c r="K1735" t="s">
        <v>177</v>
      </c>
      <c r="L1735">
        <v>2000012546</v>
      </c>
    </row>
    <row r="1736" spans="3:12">
      <c r="C1736">
        <v>2100300025</v>
      </c>
      <c r="D1736">
        <v>6491000</v>
      </c>
      <c r="E1736" t="s">
        <v>188</v>
      </c>
      <c r="F1736">
        <v>5210010102</v>
      </c>
      <c r="G1736" s="13">
        <v>1368</v>
      </c>
      <c r="I1736" t="s">
        <v>175</v>
      </c>
      <c r="J1736" t="s">
        <v>862</v>
      </c>
      <c r="K1736" t="s">
        <v>177</v>
      </c>
      <c r="L1736">
        <v>2000011988</v>
      </c>
    </row>
    <row r="1737" spans="3:12">
      <c r="C1737">
        <v>2100300025</v>
      </c>
      <c r="D1737">
        <v>6491000</v>
      </c>
      <c r="E1737" t="s">
        <v>188</v>
      </c>
      <c r="F1737">
        <v>5210010102</v>
      </c>
      <c r="G1737" s="13">
        <v>17500</v>
      </c>
      <c r="I1737" t="s">
        <v>175</v>
      </c>
      <c r="J1737" t="s">
        <v>863</v>
      </c>
      <c r="K1737" t="s">
        <v>177</v>
      </c>
      <c r="L1737">
        <v>2000013517</v>
      </c>
    </row>
    <row r="1738" spans="3:12">
      <c r="C1738">
        <v>2100300025</v>
      </c>
      <c r="D1738">
        <v>6491000</v>
      </c>
      <c r="E1738" t="s">
        <v>188</v>
      </c>
      <c r="F1738">
        <v>5210010102</v>
      </c>
      <c r="G1738" s="13">
        <v>83811</v>
      </c>
      <c r="I1738" t="s">
        <v>175</v>
      </c>
      <c r="J1738" t="s">
        <v>863</v>
      </c>
      <c r="K1738" t="s">
        <v>177</v>
      </c>
      <c r="L1738">
        <v>2000013518</v>
      </c>
    </row>
    <row r="1739" spans="3:12">
      <c r="C1739">
        <v>2100300025</v>
      </c>
      <c r="D1739">
        <v>6491000</v>
      </c>
      <c r="E1739" t="s">
        <v>188</v>
      </c>
      <c r="F1739">
        <v>5210010102</v>
      </c>
      <c r="G1739" s="13">
        <v>60853</v>
      </c>
      <c r="I1739" t="s">
        <v>175</v>
      </c>
      <c r="J1739" t="s">
        <v>863</v>
      </c>
      <c r="K1739" t="s">
        <v>177</v>
      </c>
      <c r="L1739">
        <v>2000013519</v>
      </c>
    </row>
    <row r="1740" spans="3:12">
      <c r="C1740">
        <v>2100300025</v>
      </c>
      <c r="D1740">
        <v>6491000</v>
      </c>
      <c r="E1740" t="s">
        <v>188</v>
      </c>
      <c r="F1740">
        <v>5210010102</v>
      </c>
      <c r="G1740">
        <v>1.48</v>
      </c>
      <c r="I1740" t="s">
        <v>175</v>
      </c>
      <c r="J1740" t="s">
        <v>864</v>
      </c>
      <c r="K1740" t="s">
        <v>177</v>
      </c>
      <c r="L1740">
        <v>2000003397</v>
      </c>
    </row>
    <row r="1741" spans="3:12">
      <c r="C1741">
        <v>2100300025</v>
      </c>
      <c r="D1741">
        <v>6491000</v>
      </c>
      <c r="E1741" t="s">
        <v>188</v>
      </c>
      <c r="F1741">
        <v>5210010102</v>
      </c>
      <c r="G1741">
        <v>119</v>
      </c>
      <c r="I1741" t="s">
        <v>175</v>
      </c>
      <c r="J1741" t="s">
        <v>864</v>
      </c>
      <c r="K1741" t="s">
        <v>177</v>
      </c>
      <c r="L1741">
        <v>2000003398</v>
      </c>
    </row>
    <row r="1742" spans="3:12">
      <c r="C1742">
        <v>2100300025</v>
      </c>
      <c r="D1742">
        <v>6491000</v>
      </c>
      <c r="E1742" t="s">
        <v>188</v>
      </c>
      <c r="F1742">
        <v>5210010102</v>
      </c>
      <c r="G1742">
        <v>219</v>
      </c>
      <c r="I1742" t="s">
        <v>175</v>
      </c>
      <c r="J1742" t="s">
        <v>865</v>
      </c>
      <c r="K1742" t="s">
        <v>177</v>
      </c>
      <c r="L1742">
        <v>2000013109</v>
      </c>
    </row>
    <row r="1743" spans="3:12">
      <c r="C1743">
        <v>2100300025</v>
      </c>
      <c r="D1743">
        <v>6491000</v>
      </c>
      <c r="E1743" t="s">
        <v>188</v>
      </c>
      <c r="F1743">
        <v>5210010102</v>
      </c>
      <c r="G1743" s="13">
        <v>4000</v>
      </c>
      <c r="I1743" t="s">
        <v>175</v>
      </c>
      <c r="J1743" t="s">
        <v>591</v>
      </c>
      <c r="K1743" t="s">
        <v>177</v>
      </c>
      <c r="L1743">
        <v>2000014139</v>
      </c>
    </row>
    <row r="1744" spans="3:12">
      <c r="C1744">
        <v>2100300025</v>
      </c>
      <c r="D1744">
        <v>6491000</v>
      </c>
      <c r="E1744" t="s">
        <v>188</v>
      </c>
      <c r="F1744">
        <v>5210010102</v>
      </c>
      <c r="G1744" s="13">
        <v>18100</v>
      </c>
      <c r="I1744" t="s">
        <v>175</v>
      </c>
      <c r="J1744" t="s">
        <v>591</v>
      </c>
      <c r="K1744" t="s">
        <v>177</v>
      </c>
      <c r="L1744">
        <v>2000014140</v>
      </c>
    </row>
    <row r="1745" spans="3:12">
      <c r="C1745">
        <v>2100300025</v>
      </c>
      <c r="D1745">
        <v>6491000</v>
      </c>
      <c r="E1745" t="s">
        <v>188</v>
      </c>
      <c r="F1745">
        <v>5210010102</v>
      </c>
      <c r="G1745" s="13">
        <v>5200</v>
      </c>
      <c r="I1745" t="s">
        <v>175</v>
      </c>
      <c r="J1745" t="s">
        <v>591</v>
      </c>
      <c r="K1745" t="s">
        <v>177</v>
      </c>
      <c r="L1745">
        <v>2000014141</v>
      </c>
    </row>
    <row r="1746" spans="3:12">
      <c r="C1746">
        <v>2100300025</v>
      </c>
      <c r="D1746">
        <v>6491000</v>
      </c>
      <c r="E1746" t="s">
        <v>188</v>
      </c>
      <c r="F1746">
        <v>5210010102</v>
      </c>
      <c r="G1746">
        <v>551</v>
      </c>
      <c r="I1746" t="s">
        <v>175</v>
      </c>
      <c r="J1746" t="s">
        <v>591</v>
      </c>
      <c r="K1746" t="s">
        <v>177</v>
      </c>
      <c r="L1746">
        <v>2000014142</v>
      </c>
    </row>
    <row r="1747" spans="3:12">
      <c r="C1747">
        <v>2100300025</v>
      </c>
      <c r="D1747">
        <v>6491000</v>
      </c>
      <c r="E1747" t="s">
        <v>188</v>
      </c>
      <c r="F1747">
        <v>5210010102</v>
      </c>
      <c r="G1747" s="13">
        <v>1577</v>
      </c>
      <c r="I1747" t="s">
        <v>175</v>
      </c>
      <c r="J1747" t="s">
        <v>866</v>
      </c>
      <c r="K1747" t="s">
        <v>177</v>
      </c>
      <c r="L1747">
        <v>2000013692</v>
      </c>
    </row>
    <row r="1748" spans="3:12">
      <c r="C1748">
        <v>2100300025</v>
      </c>
      <c r="D1748">
        <v>6491000</v>
      </c>
      <c r="E1748" t="s">
        <v>188</v>
      </c>
      <c r="F1748">
        <v>5210010102</v>
      </c>
      <c r="G1748" s="13">
        <v>144000</v>
      </c>
      <c r="I1748" t="s">
        <v>175</v>
      </c>
      <c r="J1748" t="s">
        <v>866</v>
      </c>
      <c r="K1748" t="s">
        <v>177</v>
      </c>
      <c r="L1748">
        <v>2000013693</v>
      </c>
    </row>
    <row r="1749" spans="3:12">
      <c r="C1749">
        <v>2100300025</v>
      </c>
      <c r="D1749">
        <v>6491000</v>
      </c>
      <c r="E1749" t="s">
        <v>188</v>
      </c>
      <c r="F1749">
        <v>5210010102</v>
      </c>
      <c r="G1749" s="13">
        <v>3433</v>
      </c>
      <c r="I1749" t="s">
        <v>175</v>
      </c>
      <c r="J1749" t="s">
        <v>866</v>
      </c>
      <c r="K1749" t="s">
        <v>177</v>
      </c>
      <c r="L1749">
        <v>2000013694</v>
      </c>
    </row>
    <row r="1750" spans="3:12">
      <c r="C1750">
        <v>2100300025</v>
      </c>
      <c r="D1750">
        <v>6491000</v>
      </c>
      <c r="E1750" t="s">
        <v>188</v>
      </c>
      <c r="F1750">
        <v>5210010102</v>
      </c>
      <c r="G1750" s="13">
        <v>11825</v>
      </c>
      <c r="I1750" t="s">
        <v>175</v>
      </c>
      <c r="J1750" t="s">
        <v>866</v>
      </c>
      <c r="K1750" t="s">
        <v>177</v>
      </c>
      <c r="L1750">
        <v>2000013695</v>
      </c>
    </row>
    <row r="1751" spans="3:12">
      <c r="C1751">
        <v>2100300025</v>
      </c>
      <c r="D1751">
        <v>6491000</v>
      </c>
      <c r="E1751" t="s">
        <v>188</v>
      </c>
      <c r="F1751">
        <v>5210010102</v>
      </c>
      <c r="G1751" s="13">
        <v>2009</v>
      </c>
      <c r="I1751" t="s">
        <v>175</v>
      </c>
      <c r="J1751" t="s">
        <v>866</v>
      </c>
      <c r="K1751" t="s">
        <v>177</v>
      </c>
      <c r="L1751">
        <v>2000013696</v>
      </c>
    </row>
    <row r="1752" spans="3:12">
      <c r="C1752">
        <v>2100300025</v>
      </c>
      <c r="D1752">
        <v>6491000</v>
      </c>
      <c r="E1752" t="s">
        <v>188</v>
      </c>
      <c r="F1752">
        <v>5210010102</v>
      </c>
      <c r="G1752" s="13">
        <v>10000000</v>
      </c>
      <c r="I1752" t="s">
        <v>175</v>
      </c>
      <c r="J1752" t="s">
        <v>867</v>
      </c>
      <c r="K1752" t="s">
        <v>177</v>
      </c>
      <c r="L1752">
        <v>2000009483</v>
      </c>
    </row>
    <row r="1753" spans="3:12">
      <c r="C1753">
        <v>2100300025</v>
      </c>
      <c r="D1753">
        <v>6491000</v>
      </c>
      <c r="E1753" t="s">
        <v>188</v>
      </c>
      <c r="F1753">
        <v>5210010102</v>
      </c>
      <c r="G1753" s="13">
        <v>134677</v>
      </c>
      <c r="I1753" t="s">
        <v>175</v>
      </c>
      <c r="J1753" t="s">
        <v>868</v>
      </c>
      <c r="K1753" t="s">
        <v>177</v>
      </c>
      <c r="L1753">
        <v>2000010500</v>
      </c>
    </row>
    <row r="1754" spans="3:12">
      <c r="C1754">
        <v>2100300025</v>
      </c>
      <c r="D1754">
        <v>6491000</v>
      </c>
      <c r="E1754" t="s">
        <v>188</v>
      </c>
      <c r="F1754">
        <v>5210010102</v>
      </c>
      <c r="G1754" s="13">
        <v>50188</v>
      </c>
      <c r="I1754" t="s">
        <v>175</v>
      </c>
      <c r="J1754" t="s">
        <v>869</v>
      </c>
      <c r="K1754" t="s">
        <v>177</v>
      </c>
      <c r="L1754">
        <v>2000013636</v>
      </c>
    </row>
    <row r="1755" spans="3:12">
      <c r="C1755">
        <v>2100300025</v>
      </c>
      <c r="D1755">
        <v>6491000</v>
      </c>
      <c r="E1755" t="s">
        <v>188</v>
      </c>
      <c r="F1755">
        <v>5210010102</v>
      </c>
      <c r="G1755">
        <v>527</v>
      </c>
      <c r="I1755" t="s">
        <v>175</v>
      </c>
      <c r="J1755" t="s">
        <v>870</v>
      </c>
      <c r="K1755" t="s">
        <v>177</v>
      </c>
      <c r="L1755">
        <v>2000013832</v>
      </c>
    </row>
    <row r="1756" spans="3:12">
      <c r="C1756">
        <v>2100300025</v>
      </c>
      <c r="D1756">
        <v>6419000</v>
      </c>
      <c r="E1756" t="s">
        <v>188</v>
      </c>
      <c r="F1756">
        <v>5210010103</v>
      </c>
      <c r="G1756" s="13">
        <v>3800</v>
      </c>
      <c r="I1756" t="s">
        <v>175</v>
      </c>
      <c r="J1756" t="s">
        <v>871</v>
      </c>
      <c r="K1756" t="s">
        <v>178</v>
      </c>
      <c r="L1756">
        <v>2000003635</v>
      </c>
    </row>
    <row r="1757" spans="3:12">
      <c r="C1757">
        <v>2100300025</v>
      </c>
      <c r="D1757">
        <v>6419000</v>
      </c>
      <c r="E1757" t="s">
        <v>188</v>
      </c>
      <c r="F1757">
        <v>5210010103</v>
      </c>
      <c r="G1757">
        <v>447.34</v>
      </c>
      <c r="I1757" t="s">
        <v>175</v>
      </c>
      <c r="J1757" t="s">
        <v>872</v>
      </c>
      <c r="K1757" t="s">
        <v>178</v>
      </c>
      <c r="L1757">
        <v>2000004889</v>
      </c>
    </row>
    <row r="1758" spans="3:12">
      <c r="C1758">
        <v>2100300025</v>
      </c>
      <c r="D1758">
        <v>6419000</v>
      </c>
      <c r="E1758" t="s">
        <v>188</v>
      </c>
      <c r="F1758">
        <v>5210010103</v>
      </c>
      <c r="G1758">
        <v>593.36</v>
      </c>
      <c r="I1758" t="s">
        <v>175</v>
      </c>
      <c r="J1758" t="s">
        <v>873</v>
      </c>
      <c r="K1758" t="s">
        <v>178</v>
      </c>
      <c r="L1758">
        <v>2000010915</v>
      </c>
    </row>
    <row r="1759" spans="3:12">
      <c r="C1759">
        <v>2100300025</v>
      </c>
      <c r="D1759">
        <v>6491000</v>
      </c>
      <c r="E1759" t="s">
        <v>188</v>
      </c>
      <c r="F1759">
        <v>5210010102</v>
      </c>
      <c r="G1759">
        <v>702</v>
      </c>
      <c r="I1759" t="s">
        <v>175</v>
      </c>
      <c r="J1759" t="s">
        <v>874</v>
      </c>
      <c r="K1759" t="s">
        <v>177</v>
      </c>
      <c r="L1759">
        <v>2000006251</v>
      </c>
    </row>
    <row r="1760" spans="3:12">
      <c r="C1760">
        <v>2100300025</v>
      </c>
      <c r="D1760">
        <v>6491000</v>
      </c>
      <c r="E1760" t="s">
        <v>188</v>
      </c>
      <c r="F1760">
        <v>5210010102</v>
      </c>
      <c r="G1760" s="13">
        <v>4745</v>
      </c>
      <c r="I1760" t="s">
        <v>175</v>
      </c>
      <c r="J1760" t="s">
        <v>874</v>
      </c>
      <c r="K1760" t="s">
        <v>177</v>
      </c>
      <c r="L1760">
        <v>2000006252</v>
      </c>
    </row>
    <row r="1761" spans="3:12">
      <c r="C1761">
        <v>2100300025</v>
      </c>
      <c r="D1761">
        <v>6426000</v>
      </c>
      <c r="E1761" t="s">
        <v>188</v>
      </c>
      <c r="F1761">
        <v>5210010105</v>
      </c>
      <c r="G1761" s="13">
        <v>521023.51</v>
      </c>
      <c r="I1761" t="s">
        <v>179</v>
      </c>
      <c r="J1761" t="s">
        <v>875</v>
      </c>
      <c r="K1761" t="s">
        <v>180</v>
      </c>
      <c r="L1761">
        <v>200001494</v>
      </c>
    </row>
    <row r="1762" spans="3:12">
      <c r="C1762">
        <v>2100300025</v>
      </c>
      <c r="D1762">
        <v>6426000</v>
      </c>
      <c r="E1762" t="s">
        <v>188</v>
      </c>
      <c r="F1762">
        <v>5210010105</v>
      </c>
      <c r="G1762" s="13">
        <v>1385</v>
      </c>
      <c r="I1762" t="s">
        <v>179</v>
      </c>
      <c r="J1762" t="s">
        <v>875</v>
      </c>
      <c r="K1762" t="s">
        <v>180</v>
      </c>
      <c r="L1762">
        <v>200000788</v>
      </c>
    </row>
    <row r="1763" spans="3:12">
      <c r="C1763">
        <v>2100300025</v>
      </c>
      <c r="D1763">
        <v>6426000</v>
      </c>
      <c r="E1763" t="s">
        <v>188</v>
      </c>
      <c r="F1763">
        <v>5210010105</v>
      </c>
      <c r="G1763" s="13">
        <v>2500</v>
      </c>
      <c r="I1763" t="s">
        <v>179</v>
      </c>
      <c r="J1763" t="s">
        <v>875</v>
      </c>
      <c r="K1763" t="s">
        <v>180</v>
      </c>
      <c r="L1763">
        <v>200001495</v>
      </c>
    </row>
    <row r="1764" spans="3:12">
      <c r="C1764">
        <v>2100300025</v>
      </c>
      <c r="D1764">
        <v>6426000</v>
      </c>
      <c r="E1764" t="s">
        <v>188</v>
      </c>
      <c r="F1764">
        <v>5210010105</v>
      </c>
      <c r="G1764" s="13">
        <v>3000</v>
      </c>
      <c r="I1764" t="s">
        <v>179</v>
      </c>
      <c r="J1764" t="s">
        <v>875</v>
      </c>
      <c r="K1764" t="s">
        <v>180</v>
      </c>
      <c r="L1764">
        <v>200001496</v>
      </c>
    </row>
    <row r="1765" spans="3:12">
      <c r="C1765">
        <v>2100300025</v>
      </c>
      <c r="D1765">
        <v>6426000</v>
      </c>
      <c r="E1765" t="s">
        <v>188</v>
      </c>
      <c r="F1765">
        <v>5210010105</v>
      </c>
      <c r="G1765" s="13">
        <v>2820</v>
      </c>
      <c r="I1765" t="s">
        <v>179</v>
      </c>
      <c r="J1765" t="s">
        <v>875</v>
      </c>
      <c r="K1765" t="s">
        <v>180</v>
      </c>
      <c r="L1765">
        <v>200000435</v>
      </c>
    </row>
    <row r="1766" spans="3:12">
      <c r="C1766">
        <v>2100300025</v>
      </c>
      <c r="D1766">
        <v>6426000</v>
      </c>
      <c r="E1766" t="s">
        <v>188</v>
      </c>
      <c r="F1766">
        <v>5210010105</v>
      </c>
      <c r="G1766" s="13">
        <v>1460</v>
      </c>
      <c r="I1766" t="s">
        <v>179</v>
      </c>
      <c r="J1766" t="s">
        <v>876</v>
      </c>
      <c r="K1766" t="s">
        <v>180</v>
      </c>
      <c r="L1766">
        <v>200004794</v>
      </c>
    </row>
    <row r="1767" spans="3:12">
      <c r="C1767">
        <v>2100300025</v>
      </c>
      <c r="D1767">
        <v>6426000</v>
      </c>
      <c r="E1767" t="s">
        <v>188</v>
      </c>
      <c r="F1767">
        <v>5210010105</v>
      </c>
      <c r="G1767" s="13">
        <v>79205.94</v>
      </c>
      <c r="I1767" t="s">
        <v>179</v>
      </c>
      <c r="J1767" t="s">
        <v>876</v>
      </c>
      <c r="K1767" t="s">
        <v>180</v>
      </c>
      <c r="L1767">
        <v>200005064</v>
      </c>
    </row>
    <row r="1768" spans="3:12">
      <c r="C1768">
        <v>2100300025</v>
      </c>
      <c r="D1768">
        <v>6426000</v>
      </c>
      <c r="E1768" t="s">
        <v>188</v>
      </c>
      <c r="F1768">
        <v>5210010105</v>
      </c>
      <c r="G1768" s="13">
        <v>1870</v>
      </c>
      <c r="I1768" t="s">
        <v>179</v>
      </c>
      <c r="J1768" t="s">
        <v>803</v>
      </c>
      <c r="K1768" t="s">
        <v>180</v>
      </c>
      <c r="L1768">
        <v>200004668</v>
      </c>
    </row>
    <row r="1769" spans="3:12">
      <c r="C1769">
        <v>2100300025</v>
      </c>
      <c r="D1769">
        <v>6426000</v>
      </c>
      <c r="E1769" t="s">
        <v>188</v>
      </c>
      <c r="F1769">
        <v>5210010105</v>
      </c>
      <c r="G1769" s="13">
        <v>37000</v>
      </c>
      <c r="I1769" t="s">
        <v>179</v>
      </c>
      <c r="J1769" t="s">
        <v>877</v>
      </c>
      <c r="K1769" t="s">
        <v>180</v>
      </c>
      <c r="L1769">
        <v>200000431</v>
      </c>
    </row>
    <row r="1770" spans="3:12">
      <c r="C1770">
        <v>2100300025</v>
      </c>
      <c r="D1770">
        <v>6426000</v>
      </c>
      <c r="E1770" t="s">
        <v>188</v>
      </c>
      <c r="F1770">
        <v>5210010105</v>
      </c>
      <c r="G1770" s="13">
        <v>49000</v>
      </c>
      <c r="I1770" t="s">
        <v>179</v>
      </c>
      <c r="J1770" t="s">
        <v>877</v>
      </c>
      <c r="K1770" t="s">
        <v>180</v>
      </c>
      <c r="L1770">
        <v>200000775</v>
      </c>
    </row>
    <row r="1771" spans="3:12">
      <c r="C1771">
        <v>2100300025</v>
      </c>
      <c r="D1771">
        <v>6426000</v>
      </c>
      <c r="E1771" t="s">
        <v>188</v>
      </c>
      <c r="F1771">
        <v>5210010105</v>
      </c>
      <c r="G1771" s="13">
        <v>2160</v>
      </c>
      <c r="I1771" t="s">
        <v>179</v>
      </c>
      <c r="J1771" t="s">
        <v>877</v>
      </c>
      <c r="K1771" t="s">
        <v>180</v>
      </c>
      <c r="L1771">
        <v>200001453</v>
      </c>
    </row>
    <row r="1772" spans="3:12">
      <c r="C1772">
        <v>2100300025</v>
      </c>
      <c r="D1772">
        <v>6426000</v>
      </c>
      <c r="E1772" t="s">
        <v>188</v>
      </c>
      <c r="F1772">
        <v>5210010105</v>
      </c>
      <c r="G1772" s="13">
        <v>12398</v>
      </c>
      <c r="I1772" t="s">
        <v>179</v>
      </c>
      <c r="J1772" t="s">
        <v>876</v>
      </c>
      <c r="K1772" t="s">
        <v>180</v>
      </c>
      <c r="L1772">
        <v>200005065</v>
      </c>
    </row>
    <row r="1773" spans="3:12">
      <c r="C1773">
        <v>2100300025</v>
      </c>
      <c r="D1773">
        <v>6426000</v>
      </c>
      <c r="E1773" t="s">
        <v>188</v>
      </c>
      <c r="F1773">
        <v>5210010105</v>
      </c>
      <c r="G1773" s="13">
        <v>35000</v>
      </c>
      <c r="I1773" t="s">
        <v>179</v>
      </c>
      <c r="J1773" t="s">
        <v>876</v>
      </c>
      <c r="K1773" t="s">
        <v>180</v>
      </c>
      <c r="L1773">
        <v>200005210</v>
      </c>
    </row>
    <row r="1774" spans="3:12">
      <c r="C1774">
        <v>2100300025</v>
      </c>
      <c r="D1774">
        <v>6426000</v>
      </c>
      <c r="E1774" t="s">
        <v>188</v>
      </c>
      <c r="F1774">
        <v>5210010105</v>
      </c>
      <c r="G1774" s="13">
        <v>64200</v>
      </c>
      <c r="I1774" t="s">
        <v>179</v>
      </c>
      <c r="J1774" t="s">
        <v>876</v>
      </c>
      <c r="K1774" t="s">
        <v>180</v>
      </c>
      <c r="L1774">
        <v>200005212</v>
      </c>
    </row>
    <row r="1775" spans="3:12">
      <c r="C1775">
        <v>2100300025</v>
      </c>
      <c r="D1775">
        <v>6426000</v>
      </c>
      <c r="E1775" t="s">
        <v>188</v>
      </c>
      <c r="F1775">
        <v>5210010105</v>
      </c>
      <c r="G1775" s="13">
        <v>2000</v>
      </c>
      <c r="I1775" t="s">
        <v>179</v>
      </c>
      <c r="J1775" t="s">
        <v>877</v>
      </c>
      <c r="K1775" t="s">
        <v>180</v>
      </c>
      <c r="L1775">
        <v>200001454</v>
      </c>
    </row>
    <row r="1776" spans="3:12">
      <c r="C1776">
        <v>2100300025</v>
      </c>
      <c r="D1776">
        <v>6426000</v>
      </c>
      <c r="E1776" t="s">
        <v>188</v>
      </c>
      <c r="F1776">
        <v>5210010105</v>
      </c>
      <c r="G1776">
        <v>420</v>
      </c>
      <c r="I1776" t="s">
        <v>179</v>
      </c>
      <c r="J1776" t="s">
        <v>877</v>
      </c>
      <c r="K1776" t="s">
        <v>180</v>
      </c>
      <c r="L1776">
        <v>200001455</v>
      </c>
    </row>
    <row r="1777" spans="3:12">
      <c r="C1777">
        <v>2100300025</v>
      </c>
      <c r="D1777">
        <v>6426000</v>
      </c>
      <c r="E1777" t="s">
        <v>188</v>
      </c>
      <c r="F1777">
        <v>5210010105</v>
      </c>
      <c r="G1777" s="13">
        <v>365600</v>
      </c>
      <c r="I1777" t="s">
        <v>179</v>
      </c>
      <c r="J1777" t="s">
        <v>878</v>
      </c>
      <c r="K1777" t="s">
        <v>180</v>
      </c>
      <c r="L1777">
        <v>200000388</v>
      </c>
    </row>
    <row r="1778" spans="3:12">
      <c r="C1778">
        <v>2100300025</v>
      </c>
      <c r="D1778">
        <v>6426000</v>
      </c>
      <c r="E1778" t="s">
        <v>188</v>
      </c>
      <c r="F1778">
        <v>5210010105</v>
      </c>
      <c r="G1778" s="13">
        <v>56000</v>
      </c>
      <c r="I1778" t="s">
        <v>179</v>
      </c>
      <c r="J1778" t="s">
        <v>878</v>
      </c>
      <c r="K1778" t="s">
        <v>180</v>
      </c>
      <c r="L1778">
        <v>200004102</v>
      </c>
    </row>
    <row r="1779" spans="3:12">
      <c r="C1779">
        <v>2100300025</v>
      </c>
      <c r="D1779">
        <v>6426000</v>
      </c>
      <c r="E1779" t="s">
        <v>188</v>
      </c>
      <c r="F1779">
        <v>5210010105</v>
      </c>
      <c r="G1779" s="13">
        <v>633334</v>
      </c>
      <c r="I1779" t="s">
        <v>179</v>
      </c>
      <c r="J1779" t="s">
        <v>878</v>
      </c>
      <c r="K1779" t="s">
        <v>180</v>
      </c>
      <c r="L1779">
        <v>200003785</v>
      </c>
    </row>
    <row r="1780" spans="3:12">
      <c r="C1780">
        <v>2100300025</v>
      </c>
      <c r="D1780">
        <v>6426000</v>
      </c>
      <c r="E1780" t="s">
        <v>188</v>
      </c>
      <c r="F1780">
        <v>5210010105</v>
      </c>
      <c r="G1780">
        <v>855</v>
      </c>
      <c r="I1780" t="s">
        <v>179</v>
      </c>
      <c r="J1780" t="s">
        <v>877</v>
      </c>
      <c r="K1780" t="s">
        <v>180</v>
      </c>
      <c r="L1780">
        <v>200001456</v>
      </c>
    </row>
    <row r="1781" spans="3:12">
      <c r="C1781">
        <v>2100300025</v>
      </c>
      <c r="D1781">
        <v>6426000</v>
      </c>
      <c r="E1781" t="s">
        <v>188</v>
      </c>
      <c r="F1781">
        <v>5210010105</v>
      </c>
      <c r="G1781" s="13">
        <v>33600</v>
      </c>
      <c r="I1781" t="s">
        <v>179</v>
      </c>
      <c r="J1781" t="s">
        <v>877</v>
      </c>
      <c r="K1781" t="s">
        <v>180</v>
      </c>
      <c r="L1781">
        <v>200001457</v>
      </c>
    </row>
    <row r="1782" spans="3:12">
      <c r="C1782">
        <v>2100300025</v>
      </c>
      <c r="D1782">
        <v>6426000</v>
      </c>
      <c r="E1782" t="s">
        <v>188</v>
      </c>
      <c r="F1782">
        <v>5210010105</v>
      </c>
      <c r="G1782" s="13">
        <v>11556</v>
      </c>
      <c r="I1782" t="s">
        <v>179</v>
      </c>
      <c r="J1782" t="s">
        <v>878</v>
      </c>
      <c r="K1782" t="s">
        <v>180</v>
      </c>
      <c r="L1782">
        <v>200003781</v>
      </c>
    </row>
    <row r="1783" spans="3:12">
      <c r="C1783">
        <v>2100300025</v>
      </c>
      <c r="D1783">
        <v>6426000</v>
      </c>
      <c r="E1783" t="s">
        <v>188</v>
      </c>
      <c r="F1783">
        <v>5210010105</v>
      </c>
      <c r="G1783" s="13">
        <v>15450</v>
      </c>
      <c r="I1783" t="s">
        <v>179</v>
      </c>
      <c r="J1783" t="s">
        <v>878</v>
      </c>
      <c r="K1783" t="s">
        <v>180</v>
      </c>
      <c r="L1783">
        <v>200004096</v>
      </c>
    </row>
    <row r="1784" spans="3:12">
      <c r="C1784">
        <v>2100300025</v>
      </c>
      <c r="D1784">
        <v>6426000</v>
      </c>
      <c r="E1784" t="s">
        <v>188</v>
      </c>
      <c r="F1784">
        <v>5210010105</v>
      </c>
      <c r="G1784" s="13">
        <v>230400</v>
      </c>
      <c r="I1784" t="s">
        <v>179</v>
      </c>
      <c r="J1784" t="s">
        <v>878</v>
      </c>
      <c r="K1784" t="s">
        <v>180</v>
      </c>
      <c r="L1784">
        <v>200004117</v>
      </c>
    </row>
    <row r="1785" spans="3:12">
      <c r="C1785">
        <v>2100300025</v>
      </c>
      <c r="D1785">
        <v>6426000</v>
      </c>
      <c r="E1785" t="s">
        <v>188</v>
      </c>
      <c r="F1785">
        <v>5210010105</v>
      </c>
      <c r="G1785" s="13">
        <v>220317</v>
      </c>
      <c r="I1785" t="s">
        <v>179</v>
      </c>
      <c r="J1785" t="s">
        <v>878</v>
      </c>
      <c r="K1785" t="s">
        <v>180</v>
      </c>
      <c r="L1785">
        <v>200004118</v>
      </c>
    </row>
    <row r="1786" spans="3:12">
      <c r="C1786">
        <v>2100300025</v>
      </c>
      <c r="D1786">
        <v>6426000</v>
      </c>
      <c r="E1786" t="s">
        <v>188</v>
      </c>
      <c r="F1786">
        <v>5210010105</v>
      </c>
      <c r="G1786" s="13">
        <v>9672</v>
      </c>
      <c r="I1786" t="s">
        <v>179</v>
      </c>
      <c r="J1786" t="s">
        <v>878</v>
      </c>
      <c r="K1786" t="s">
        <v>180</v>
      </c>
      <c r="L1786">
        <v>200004119</v>
      </c>
    </row>
    <row r="1787" spans="3:12">
      <c r="C1787">
        <v>2100300025</v>
      </c>
      <c r="D1787">
        <v>6426000</v>
      </c>
      <c r="E1787" t="s">
        <v>188</v>
      </c>
      <c r="F1787">
        <v>5210010105</v>
      </c>
      <c r="G1787" s="13">
        <v>146900</v>
      </c>
      <c r="I1787" t="s">
        <v>179</v>
      </c>
      <c r="J1787" t="s">
        <v>878</v>
      </c>
      <c r="K1787" t="s">
        <v>180</v>
      </c>
      <c r="L1787">
        <v>200004122</v>
      </c>
    </row>
    <row r="1788" spans="3:12">
      <c r="C1788">
        <v>2100300025</v>
      </c>
      <c r="D1788">
        <v>6426000</v>
      </c>
      <c r="E1788" t="s">
        <v>188</v>
      </c>
      <c r="F1788">
        <v>5210010105</v>
      </c>
      <c r="G1788" s="13">
        <v>100226.5</v>
      </c>
      <c r="I1788" t="s">
        <v>179</v>
      </c>
      <c r="J1788" t="s">
        <v>878</v>
      </c>
      <c r="K1788" t="s">
        <v>180</v>
      </c>
      <c r="L1788">
        <v>200004401</v>
      </c>
    </row>
    <row r="1789" spans="3:12">
      <c r="C1789">
        <v>2100300025</v>
      </c>
      <c r="D1789">
        <v>6426000</v>
      </c>
      <c r="E1789" t="s">
        <v>188</v>
      </c>
      <c r="F1789">
        <v>5210010105</v>
      </c>
      <c r="G1789" s="13">
        <v>1273550</v>
      </c>
      <c r="I1789" t="s">
        <v>179</v>
      </c>
      <c r="J1789" t="s">
        <v>878</v>
      </c>
      <c r="K1789" t="s">
        <v>180</v>
      </c>
      <c r="L1789">
        <v>200004130</v>
      </c>
    </row>
    <row r="1790" spans="3:12">
      <c r="C1790">
        <v>2100300025</v>
      </c>
      <c r="D1790">
        <v>6426000</v>
      </c>
      <c r="E1790" t="s">
        <v>188</v>
      </c>
      <c r="F1790">
        <v>5210010105</v>
      </c>
      <c r="G1790" s="13">
        <v>24213</v>
      </c>
      <c r="I1790" t="s">
        <v>179</v>
      </c>
      <c r="J1790" t="s">
        <v>878</v>
      </c>
      <c r="K1790" t="s">
        <v>180</v>
      </c>
      <c r="L1790">
        <v>200004131</v>
      </c>
    </row>
    <row r="1791" spans="3:12">
      <c r="C1791">
        <v>2100300025</v>
      </c>
      <c r="D1791">
        <v>6426000</v>
      </c>
      <c r="E1791" t="s">
        <v>188</v>
      </c>
      <c r="F1791">
        <v>5210010105</v>
      </c>
      <c r="G1791" s="13">
        <v>17476.2</v>
      </c>
      <c r="I1791" t="s">
        <v>179</v>
      </c>
      <c r="J1791" t="s">
        <v>878</v>
      </c>
      <c r="K1791" t="s">
        <v>180</v>
      </c>
      <c r="L1791">
        <v>200004132</v>
      </c>
    </row>
    <row r="1792" spans="3:12">
      <c r="C1792">
        <v>2100300025</v>
      </c>
      <c r="D1792">
        <v>6426000</v>
      </c>
      <c r="E1792" t="s">
        <v>188</v>
      </c>
      <c r="F1792">
        <v>5210010105</v>
      </c>
      <c r="G1792" s="13">
        <v>414233</v>
      </c>
      <c r="I1792" t="s">
        <v>179</v>
      </c>
      <c r="J1792" t="s">
        <v>878</v>
      </c>
      <c r="K1792" t="s">
        <v>180</v>
      </c>
      <c r="L1792">
        <v>200004133</v>
      </c>
    </row>
    <row r="1793" spans="3:12">
      <c r="C1793">
        <v>2100300025</v>
      </c>
      <c r="D1793">
        <v>6426000</v>
      </c>
      <c r="E1793" t="s">
        <v>188</v>
      </c>
      <c r="F1793">
        <v>5210010105</v>
      </c>
      <c r="G1793" s="13">
        <v>1900</v>
      </c>
      <c r="I1793" t="s">
        <v>179</v>
      </c>
      <c r="J1793" t="s">
        <v>878</v>
      </c>
      <c r="K1793" t="s">
        <v>180</v>
      </c>
      <c r="L1793">
        <v>200004405</v>
      </c>
    </row>
    <row r="1794" spans="3:12">
      <c r="C1794">
        <v>2100300025</v>
      </c>
      <c r="D1794">
        <v>6426000</v>
      </c>
      <c r="E1794" t="s">
        <v>188</v>
      </c>
      <c r="F1794">
        <v>5210010105</v>
      </c>
      <c r="G1794" s="13">
        <v>3638</v>
      </c>
      <c r="I1794" t="s">
        <v>179</v>
      </c>
      <c r="J1794" t="s">
        <v>878</v>
      </c>
      <c r="K1794" t="s">
        <v>180</v>
      </c>
      <c r="L1794">
        <v>200000396</v>
      </c>
    </row>
    <row r="1795" spans="3:12">
      <c r="C1795">
        <v>2100300025</v>
      </c>
      <c r="D1795">
        <v>6426000</v>
      </c>
      <c r="E1795" t="s">
        <v>188</v>
      </c>
      <c r="F1795">
        <v>5210010105</v>
      </c>
      <c r="G1795" s="13">
        <v>117260</v>
      </c>
      <c r="I1795" t="s">
        <v>179</v>
      </c>
      <c r="J1795" t="s">
        <v>878</v>
      </c>
      <c r="K1795" t="s">
        <v>180</v>
      </c>
      <c r="L1795">
        <v>200003975</v>
      </c>
    </row>
    <row r="1796" spans="3:12">
      <c r="C1796">
        <v>2100300025</v>
      </c>
      <c r="D1796">
        <v>6426000</v>
      </c>
      <c r="E1796" t="s">
        <v>188</v>
      </c>
      <c r="F1796">
        <v>5210010105</v>
      </c>
      <c r="G1796">
        <v>400</v>
      </c>
      <c r="I1796" t="s">
        <v>179</v>
      </c>
      <c r="J1796" t="s">
        <v>878</v>
      </c>
      <c r="K1796" t="s">
        <v>180</v>
      </c>
      <c r="L1796">
        <v>200003976</v>
      </c>
    </row>
    <row r="1797" spans="3:12">
      <c r="C1797">
        <v>2100300025</v>
      </c>
      <c r="D1797">
        <v>6426000</v>
      </c>
      <c r="E1797" t="s">
        <v>188</v>
      </c>
      <c r="F1797">
        <v>5210010105</v>
      </c>
      <c r="G1797" s="13">
        <v>5000</v>
      </c>
      <c r="I1797" t="s">
        <v>179</v>
      </c>
      <c r="J1797" t="s">
        <v>878</v>
      </c>
      <c r="K1797" t="s">
        <v>180</v>
      </c>
      <c r="L1797">
        <v>200003977</v>
      </c>
    </row>
    <row r="1798" spans="3:12">
      <c r="C1798">
        <v>2100300025</v>
      </c>
      <c r="D1798">
        <v>6426000</v>
      </c>
      <c r="E1798" t="s">
        <v>188</v>
      </c>
      <c r="F1798">
        <v>5210010105</v>
      </c>
      <c r="G1798">
        <v>120</v>
      </c>
      <c r="I1798" t="s">
        <v>179</v>
      </c>
      <c r="J1798" t="s">
        <v>878</v>
      </c>
      <c r="K1798" t="s">
        <v>180</v>
      </c>
      <c r="L1798">
        <v>200003978</v>
      </c>
    </row>
    <row r="1799" spans="3:12">
      <c r="C1799">
        <v>2100300025</v>
      </c>
      <c r="D1799">
        <v>6426000</v>
      </c>
      <c r="E1799" t="s">
        <v>188</v>
      </c>
      <c r="F1799">
        <v>5210010105</v>
      </c>
      <c r="G1799">
        <v>300</v>
      </c>
      <c r="I1799" t="s">
        <v>179</v>
      </c>
      <c r="J1799" t="s">
        <v>878</v>
      </c>
      <c r="K1799" t="s">
        <v>180</v>
      </c>
      <c r="L1799">
        <v>200003979</v>
      </c>
    </row>
    <row r="1800" spans="3:12">
      <c r="C1800">
        <v>2100300025</v>
      </c>
      <c r="D1800">
        <v>6426000</v>
      </c>
      <c r="E1800" t="s">
        <v>188</v>
      </c>
      <c r="F1800">
        <v>5210010105</v>
      </c>
      <c r="G1800" s="13">
        <v>17865</v>
      </c>
      <c r="I1800" t="s">
        <v>179</v>
      </c>
      <c r="J1800" t="s">
        <v>878</v>
      </c>
      <c r="K1800" t="s">
        <v>180</v>
      </c>
      <c r="L1800">
        <v>200003980</v>
      </c>
    </row>
    <row r="1801" spans="3:12">
      <c r="C1801">
        <v>2100300025</v>
      </c>
      <c r="D1801">
        <v>6426000</v>
      </c>
      <c r="E1801" t="s">
        <v>188</v>
      </c>
      <c r="F1801">
        <v>5210010105</v>
      </c>
      <c r="G1801" s="13">
        <v>5000</v>
      </c>
      <c r="I1801" t="s">
        <v>179</v>
      </c>
      <c r="J1801" t="s">
        <v>879</v>
      </c>
      <c r="K1801" t="s">
        <v>180</v>
      </c>
      <c r="L1801">
        <v>200003423</v>
      </c>
    </row>
    <row r="1802" spans="3:12">
      <c r="C1802">
        <v>2100300025</v>
      </c>
      <c r="D1802">
        <v>6426000</v>
      </c>
      <c r="E1802" t="s">
        <v>188</v>
      </c>
      <c r="F1802">
        <v>5210010105</v>
      </c>
      <c r="G1802" s="13">
        <v>75466</v>
      </c>
      <c r="I1802" t="s">
        <v>179</v>
      </c>
      <c r="J1802" t="s">
        <v>879</v>
      </c>
      <c r="K1802" t="s">
        <v>180</v>
      </c>
      <c r="L1802">
        <v>200002895</v>
      </c>
    </row>
    <row r="1803" spans="3:12">
      <c r="C1803">
        <v>2100300025</v>
      </c>
      <c r="D1803">
        <v>6426000</v>
      </c>
      <c r="E1803" t="s">
        <v>188</v>
      </c>
      <c r="F1803">
        <v>5210010105</v>
      </c>
      <c r="G1803" s="13">
        <v>27360</v>
      </c>
      <c r="I1803" t="s">
        <v>179</v>
      </c>
      <c r="J1803" t="s">
        <v>805</v>
      </c>
      <c r="K1803" t="s">
        <v>180</v>
      </c>
      <c r="L1803">
        <v>200006510</v>
      </c>
    </row>
    <row r="1804" spans="3:12">
      <c r="C1804">
        <v>2100300025</v>
      </c>
      <c r="D1804">
        <v>6426000</v>
      </c>
      <c r="E1804" t="s">
        <v>188</v>
      </c>
      <c r="F1804">
        <v>5210010105</v>
      </c>
      <c r="G1804" s="13">
        <v>4000</v>
      </c>
      <c r="I1804" t="s">
        <v>179</v>
      </c>
      <c r="J1804" t="s">
        <v>880</v>
      </c>
      <c r="K1804" t="s">
        <v>180</v>
      </c>
      <c r="L1804">
        <v>200000081</v>
      </c>
    </row>
    <row r="1805" spans="3:12">
      <c r="C1805">
        <v>2100300025</v>
      </c>
      <c r="D1805">
        <v>6426000</v>
      </c>
      <c r="E1805" t="s">
        <v>188</v>
      </c>
      <c r="F1805">
        <v>5210010105</v>
      </c>
      <c r="G1805" s="13">
        <v>32500</v>
      </c>
      <c r="I1805" t="s">
        <v>179</v>
      </c>
      <c r="J1805" t="s">
        <v>880</v>
      </c>
      <c r="K1805" t="s">
        <v>180</v>
      </c>
      <c r="L1805">
        <v>200001313</v>
      </c>
    </row>
    <row r="1806" spans="3:12">
      <c r="C1806">
        <v>2100300025</v>
      </c>
      <c r="D1806">
        <v>6426000</v>
      </c>
      <c r="E1806" t="s">
        <v>188</v>
      </c>
      <c r="F1806">
        <v>5210010105</v>
      </c>
      <c r="G1806">
        <v>660</v>
      </c>
      <c r="I1806" t="s">
        <v>179</v>
      </c>
      <c r="J1806" t="s">
        <v>880</v>
      </c>
      <c r="K1806" t="s">
        <v>180</v>
      </c>
      <c r="L1806">
        <v>200000082</v>
      </c>
    </row>
    <row r="1807" spans="3:12">
      <c r="C1807">
        <v>2100300025</v>
      </c>
      <c r="D1807">
        <v>6426000</v>
      </c>
      <c r="E1807" t="s">
        <v>188</v>
      </c>
      <c r="F1807">
        <v>5210010105</v>
      </c>
      <c r="G1807" s="13">
        <v>14050</v>
      </c>
      <c r="I1807" t="s">
        <v>179</v>
      </c>
      <c r="J1807" t="s">
        <v>880</v>
      </c>
      <c r="K1807" t="s">
        <v>180</v>
      </c>
      <c r="L1807">
        <v>200000173</v>
      </c>
    </row>
    <row r="1808" spans="3:12">
      <c r="C1808">
        <v>2100300025</v>
      </c>
      <c r="D1808">
        <v>6426000</v>
      </c>
      <c r="E1808" t="s">
        <v>188</v>
      </c>
      <c r="F1808">
        <v>5210010105</v>
      </c>
      <c r="G1808" s="13">
        <v>13375</v>
      </c>
      <c r="I1808" t="s">
        <v>179</v>
      </c>
      <c r="J1808" t="s">
        <v>806</v>
      </c>
      <c r="K1808" t="s">
        <v>180</v>
      </c>
      <c r="L1808">
        <v>200000944</v>
      </c>
    </row>
    <row r="1809" spans="3:12">
      <c r="C1809">
        <v>2100300025</v>
      </c>
      <c r="D1809">
        <v>6426000</v>
      </c>
      <c r="E1809" t="s">
        <v>188</v>
      </c>
      <c r="F1809">
        <v>5210010105</v>
      </c>
      <c r="G1809" s="13">
        <v>4630</v>
      </c>
      <c r="I1809" t="s">
        <v>179</v>
      </c>
      <c r="J1809" t="s">
        <v>881</v>
      </c>
      <c r="K1809" t="s">
        <v>180</v>
      </c>
      <c r="L1809">
        <v>200000509</v>
      </c>
    </row>
    <row r="1810" spans="3:12">
      <c r="C1810">
        <v>2100300025</v>
      </c>
      <c r="D1810">
        <v>6426000</v>
      </c>
      <c r="E1810" t="s">
        <v>188</v>
      </c>
      <c r="F1810">
        <v>5210010105</v>
      </c>
      <c r="G1810">
        <v>400</v>
      </c>
      <c r="I1810" t="s">
        <v>179</v>
      </c>
      <c r="J1810" t="s">
        <v>881</v>
      </c>
      <c r="K1810" t="s">
        <v>180</v>
      </c>
      <c r="L1810">
        <v>200000510</v>
      </c>
    </row>
    <row r="1811" spans="3:12">
      <c r="C1811">
        <v>2100300025</v>
      </c>
      <c r="D1811">
        <v>6426000</v>
      </c>
      <c r="E1811" t="s">
        <v>188</v>
      </c>
      <c r="F1811">
        <v>5210010105</v>
      </c>
      <c r="G1811">
        <v>727</v>
      </c>
      <c r="I1811" t="s">
        <v>179</v>
      </c>
      <c r="J1811" t="s">
        <v>881</v>
      </c>
      <c r="K1811" t="s">
        <v>180</v>
      </c>
      <c r="L1811">
        <v>200000511</v>
      </c>
    </row>
    <row r="1812" spans="3:12">
      <c r="C1812">
        <v>2100300025</v>
      </c>
      <c r="D1812">
        <v>6426000</v>
      </c>
      <c r="E1812" t="s">
        <v>188</v>
      </c>
      <c r="F1812">
        <v>5210010105</v>
      </c>
      <c r="G1812" s="13">
        <v>7737</v>
      </c>
      <c r="I1812" t="s">
        <v>179</v>
      </c>
      <c r="J1812" t="s">
        <v>881</v>
      </c>
      <c r="K1812" t="s">
        <v>180</v>
      </c>
      <c r="L1812">
        <v>200000512</v>
      </c>
    </row>
    <row r="1813" spans="3:12">
      <c r="C1813">
        <v>2100300025</v>
      </c>
      <c r="D1813">
        <v>6426000</v>
      </c>
      <c r="E1813" t="s">
        <v>188</v>
      </c>
      <c r="F1813">
        <v>5210010105</v>
      </c>
      <c r="G1813">
        <v>240</v>
      </c>
      <c r="I1813" t="s">
        <v>179</v>
      </c>
      <c r="J1813" t="s">
        <v>881</v>
      </c>
      <c r="K1813" t="s">
        <v>180</v>
      </c>
      <c r="L1813">
        <v>200000513</v>
      </c>
    </row>
    <row r="1814" spans="3:12">
      <c r="C1814">
        <v>2100300025</v>
      </c>
      <c r="D1814">
        <v>6426000</v>
      </c>
      <c r="E1814" t="s">
        <v>188</v>
      </c>
      <c r="F1814">
        <v>5210010105</v>
      </c>
      <c r="G1814" s="13">
        <v>32000</v>
      </c>
      <c r="I1814" t="s">
        <v>179</v>
      </c>
      <c r="J1814" t="s">
        <v>881</v>
      </c>
      <c r="K1814" t="s">
        <v>180</v>
      </c>
      <c r="L1814">
        <v>200000919</v>
      </c>
    </row>
    <row r="1815" spans="3:12">
      <c r="C1815">
        <v>2100300025</v>
      </c>
      <c r="D1815">
        <v>6426000</v>
      </c>
      <c r="E1815" t="s">
        <v>188</v>
      </c>
      <c r="F1815">
        <v>5210010105</v>
      </c>
      <c r="G1815" s="13">
        <v>18000</v>
      </c>
      <c r="I1815" t="s">
        <v>179</v>
      </c>
      <c r="J1815" t="s">
        <v>881</v>
      </c>
      <c r="K1815" t="s">
        <v>180</v>
      </c>
      <c r="L1815">
        <v>200000514</v>
      </c>
    </row>
    <row r="1816" spans="3:12">
      <c r="C1816">
        <v>2100300025</v>
      </c>
      <c r="D1816">
        <v>6426000</v>
      </c>
      <c r="E1816" t="s">
        <v>188</v>
      </c>
      <c r="F1816">
        <v>5210010105</v>
      </c>
      <c r="G1816" s="13">
        <v>24500</v>
      </c>
      <c r="I1816" t="s">
        <v>179</v>
      </c>
      <c r="J1816" t="s">
        <v>881</v>
      </c>
      <c r="K1816" t="s">
        <v>180</v>
      </c>
      <c r="L1816">
        <v>200000417</v>
      </c>
    </row>
    <row r="1817" spans="3:12">
      <c r="C1817">
        <v>2100300025</v>
      </c>
      <c r="D1817">
        <v>6426000</v>
      </c>
      <c r="E1817" t="s">
        <v>188</v>
      </c>
      <c r="F1817">
        <v>5210010105</v>
      </c>
      <c r="G1817" s="13">
        <v>20000</v>
      </c>
      <c r="I1817" t="s">
        <v>179</v>
      </c>
      <c r="J1817" t="s">
        <v>881</v>
      </c>
      <c r="K1817" t="s">
        <v>180</v>
      </c>
      <c r="L1817">
        <v>200001405</v>
      </c>
    </row>
    <row r="1818" spans="3:12">
      <c r="C1818">
        <v>2100300025</v>
      </c>
      <c r="D1818">
        <v>6426000</v>
      </c>
      <c r="E1818" t="s">
        <v>188</v>
      </c>
      <c r="F1818">
        <v>5210010105</v>
      </c>
      <c r="G1818" s="13">
        <v>84960</v>
      </c>
      <c r="I1818" t="s">
        <v>179</v>
      </c>
      <c r="J1818" t="s">
        <v>875</v>
      </c>
      <c r="K1818" t="s">
        <v>180</v>
      </c>
      <c r="L1818">
        <v>200001498</v>
      </c>
    </row>
    <row r="1819" spans="3:12">
      <c r="C1819">
        <v>2100300025</v>
      </c>
      <c r="D1819">
        <v>6426000</v>
      </c>
      <c r="E1819" t="s">
        <v>188</v>
      </c>
      <c r="F1819">
        <v>5210010105</v>
      </c>
      <c r="G1819" s="13">
        <v>8000</v>
      </c>
      <c r="I1819" t="s">
        <v>179</v>
      </c>
      <c r="J1819" t="s">
        <v>875</v>
      </c>
      <c r="K1819" t="s">
        <v>180</v>
      </c>
      <c r="L1819">
        <v>200000436</v>
      </c>
    </row>
    <row r="1820" spans="3:12">
      <c r="C1820">
        <v>2100300025</v>
      </c>
      <c r="D1820">
        <v>6426000</v>
      </c>
      <c r="E1820" t="s">
        <v>188</v>
      </c>
      <c r="F1820">
        <v>5210010105</v>
      </c>
      <c r="G1820">
        <v>320</v>
      </c>
      <c r="I1820" t="s">
        <v>179</v>
      </c>
      <c r="J1820" t="s">
        <v>875</v>
      </c>
      <c r="K1820" t="s">
        <v>180</v>
      </c>
      <c r="L1820">
        <v>200000437</v>
      </c>
    </row>
    <row r="1821" spans="3:12">
      <c r="C1821">
        <v>2100300025</v>
      </c>
      <c r="D1821">
        <v>6426000</v>
      </c>
      <c r="E1821" t="s">
        <v>188</v>
      </c>
      <c r="F1821">
        <v>5210010105</v>
      </c>
      <c r="G1821" s="13">
        <v>32581.5</v>
      </c>
      <c r="I1821" t="s">
        <v>179</v>
      </c>
      <c r="J1821" t="s">
        <v>875</v>
      </c>
      <c r="K1821" t="s">
        <v>180</v>
      </c>
      <c r="L1821">
        <v>200000438</v>
      </c>
    </row>
    <row r="1822" spans="3:12">
      <c r="C1822">
        <v>2100300025</v>
      </c>
      <c r="D1822">
        <v>6426000</v>
      </c>
      <c r="E1822" t="s">
        <v>188</v>
      </c>
      <c r="F1822">
        <v>5210010105</v>
      </c>
      <c r="G1822" s="13">
        <v>1149205</v>
      </c>
      <c r="I1822" t="s">
        <v>179</v>
      </c>
      <c r="J1822" t="s">
        <v>875</v>
      </c>
      <c r="K1822" t="s">
        <v>180</v>
      </c>
      <c r="L1822">
        <v>200000789</v>
      </c>
    </row>
    <row r="1823" spans="3:12">
      <c r="C1823">
        <v>2100300025</v>
      </c>
      <c r="D1823">
        <v>6426000</v>
      </c>
      <c r="E1823" t="s">
        <v>188</v>
      </c>
      <c r="F1823">
        <v>5210010105</v>
      </c>
      <c r="G1823" s="13">
        <v>1287400</v>
      </c>
      <c r="I1823" t="s">
        <v>179</v>
      </c>
      <c r="J1823" t="s">
        <v>878</v>
      </c>
      <c r="K1823" t="s">
        <v>180</v>
      </c>
      <c r="L1823">
        <v>200003649</v>
      </c>
    </row>
    <row r="1824" spans="3:12">
      <c r="C1824">
        <v>2100300025</v>
      </c>
      <c r="D1824">
        <v>6426000</v>
      </c>
      <c r="E1824" t="s">
        <v>188</v>
      </c>
      <c r="F1824">
        <v>5210010105</v>
      </c>
      <c r="G1824" s="13">
        <v>8978</v>
      </c>
      <c r="I1824" t="s">
        <v>179</v>
      </c>
      <c r="J1824" t="s">
        <v>876</v>
      </c>
      <c r="K1824" t="s">
        <v>180</v>
      </c>
      <c r="L1824">
        <v>200005119</v>
      </c>
    </row>
    <row r="1825" spans="3:12">
      <c r="C1825">
        <v>2100300025</v>
      </c>
      <c r="D1825">
        <v>6426000</v>
      </c>
      <c r="E1825" t="s">
        <v>188</v>
      </c>
      <c r="F1825">
        <v>5210010105</v>
      </c>
      <c r="G1825" s="13">
        <v>11000</v>
      </c>
      <c r="I1825" t="s">
        <v>179</v>
      </c>
      <c r="J1825" t="s">
        <v>876</v>
      </c>
      <c r="K1825" t="s">
        <v>180</v>
      </c>
      <c r="L1825">
        <v>200005120</v>
      </c>
    </row>
    <row r="1826" spans="3:12">
      <c r="C1826">
        <v>2100300025</v>
      </c>
      <c r="D1826">
        <v>6426000</v>
      </c>
      <c r="E1826" t="s">
        <v>188</v>
      </c>
      <c r="F1826">
        <v>5210010105</v>
      </c>
      <c r="G1826" s="13">
        <v>25680</v>
      </c>
      <c r="I1826" t="s">
        <v>179</v>
      </c>
      <c r="J1826" t="s">
        <v>876</v>
      </c>
      <c r="K1826" t="s">
        <v>180</v>
      </c>
      <c r="L1826">
        <v>200005121</v>
      </c>
    </row>
    <row r="1827" spans="3:12">
      <c r="C1827">
        <v>2100300025</v>
      </c>
      <c r="D1827">
        <v>6426000</v>
      </c>
      <c r="E1827" t="s">
        <v>188</v>
      </c>
      <c r="F1827">
        <v>5210010105</v>
      </c>
      <c r="G1827" s="13">
        <v>26750</v>
      </c>
      <c r="I1827" t="s">
        <v>179</v>
      </c>
      <c r="J1827" t="s">
        <v>876</v>
      </c>
      <c r="K1827" t="s">
        <v>180</v>
      </c>
      <c r="L1827">
        <v>200005211</v>
      </c>
    </row>
    <row r="1828" spans="3:12">
      <c r="C1828">
        <v>2100300025</v>
      </c>
      <c r="D1828">
        <v>6426000</v>
      </c>
      <c r="E1828" t="s">
        <v>188</v>
      </c>
      <c r="F1828">
        <v>5210010105</v>
      </c>
      <c r="G1828" s="13">
        <v>26750</v>
      </c>
      <c r="I1828" t="s">
        <v>179</v>
      </c>
      <c r="J1828" t="s">
        <v>876</v>
      </c>
      <c r="K1828" t="s">
        <v>180</v>
      </c>
      <c r="L1828">
        <v>200005066</v>
      </c>
    </row>
    <row r="1829" spans="3:12">
      <c r="C1829">
        <v>2100300025</v>
      </c>
      <c r="D1829">
        <v>6426000</v>
      </c>
      <c r="E1829" t="s">
        <v>188</v>
      </c>
      <c r="F1829">
        <v>5210010105</v>
      </c>
      <c r="G1829" s="13">
        <v>6000</v>
      </c>
      <c r="I1829" t="s">
        <v>179</v>
      </c>
      <c r="J1829" t="s">
        <v>876</v>
      </c>
      <c r="K1829" t="s">
        <v>180</v>
      </c>
      <c r="L1829">
        <v>200004830</v>
      </c>
    </row>
    <row r="1830" spans="3:12">
      <c r="C1830">
        <v>2100300025</v>
      </c>
      <c r="D1830">
        <v>6426000</v>
      </c>
      <c r="E1830" t="s">
        <v>188</v>
      </c>
      <c r="F1830">
        <v>5210010105</v>
      </c>
      <c r="G1830" s="13">
        <v>1438080</v>
      </c>
      <c r="I1830" t="s">
        <v>179</v>
      </c>
      <c r="J1830" t="s">
        <v>876</v>
      </c>
      <c r="K1830" t="s">
        <v>180</v>
      </c>
      <c r="L1830">
        <v>200005067</v>
      </c>
    </row>
    <row r="1831" spans="3:12">
      <c r="C1831">
        <v>2100300025</v>
      </c>
      <c r="D1831">
        <v>6426000</v>
      </c>
      <c r="E1831" t="s">
        <v>188</v>
      </c>
      <c r="F1831">
        <v>5210010105</v>
      </c>
      <c r="G1831" s="13">
        <v>594968.15</v>
      </c>
      <c r="I1831" t="s">
        <v>179</v>
      </c>
      <c r="J1831" t="s">
        <v>876</v>
      </c>
      <c r="K1831" t="s">
        <v>180</v>
      </c>
      <c r="L1831">
        <v>200005068</v>
      </c>
    </row>
    <row r="1832" spans="3:12">
      <c r="C1832">
        <v>2100300025</v>
      </c>
      <c r="D1832">
        <v>6426000</v>
      </c>
      <c r="E1832" t="s">
        <v>188</v>
      </c>
      <c r="F1832">
        <v>5210010105</v>
      </c>
      <c r="G1832" s="13">
        <v>60136</v>
      </c>
      <c r="I1832" t="s">
        <v>179</v>
      </c>
      <c r="J1832" t="s">
        <v>877</v>
      </c>
      <c r="K1832" t="s">
        <v>180</v>
      </c>
      <c r="L1832">
        <v>200000774</v>
      </c>
    </row>
    <row r="1833" spans="3:12">
      <c r="C1833">
        <v>2100300025</v>
      </c>
      <c r="D1833">
        <v>6426000</v>
      </c>
      <c r="E1833" t="s">
        <v>188</v>
      </c>
      <c r="F1833">
        <v>5210010105</v>
      </c>
      <c r="G1833" s="13">
        <v>24420</v>
      </c>
      <c r="I1833" t="s">
        <v>179</v>
      </c>
      <c r="J1833" t="s">
        <v>877</v>
      </c>
      <c r="K1833" t="s">
        <v>180</v>
      </c>
      <c r="L1833">
        <v>200001452</v>
      </c>
    </row>
    <row r="1834" spans="3:12">
      <c r="C1834">
        <v>2100300025</v>
      </c>
      <c r="D1834">
        <v>6426000</v>
      </c>
      <c r="E1834" t="s">
        <v>188</v>
      </c>
      <c r="F1834">
        <v>5210010105</v>
      </c>
      <c r="G1834" s="13">
        <v>88140</v>
      </c>
      <c r="I1834" t="s">
        <v>179</v>
      </c>
      <c r="J1834" t="s">
        <v>877</v>
      </c>
      <c r="K1834" t="s">
        <v>180</v>
      </c>
      <c r="L1834">
        <v>200000935</v>
      </c>
    </row>
    <row r="1835" spans="3:12">
      <c r="C1835">
        <v>2100300025</v>
      </c>
      <c r="D1835">
        <v>6426000</v>
      </c>
      <c r="E1835" t="s">
        <v>188</v>
      </c>
      <c r="F1835">
        <v>5210010105</v>
      </c>
      <c r="G1835" s="13">
        <v>20332</v>
      </c>
      <c r="I1835" t="s">
        <v>179</v>
      </c>
      <c r="J1835" t="s">
        <v>877</v>
      </c>
      <c r="K1835" t="s">
        <v>180</v>
      </c>
      <c r="L1835">
        <v>200000521</v>
      </c>
    </row>
    <row r="1836" spans="3:12">
      <c r="C1836">
        <v>2100300025</v>
      </c>
      <c r="D1836">
        <v>6426000</v>
      </c>
      <c r="E1836" t="s">
        <v>188</v>
      </c>
      <c r="F1836">
        <v>5210010105</v>
      </c>
      <c r="G1836" s="13">
        <v>22950</v>
      </c>
      <c r="I1836" t="s">
        <v>179</v>
      </c>
      <c r="J1836" t="s">
        <v>878</v>
      </c>
      <c r="K1836" t="s">
        <v>180</v>
      </c>
      <c r="L1836">
        <v>200004090</v>
      </c>
    </row>
    <row r="1837" spans="3:12">
      <c r="C1837">
        <v>2100300025</v>
      </c>
      <c r="D1837">
        <v>6426000</v>
      </c>
      <c r="E1837" t="s">
        <v>188</v>
      </c>
      <c r="F1837">
        <v>5210010105</v>
      </c>
      <c r="G1837" s="13">
        <v>14000</v>
      </c>
      <c r="I1837" t="s">
        <v>179</v>
      </c>
      <c r="J1837" t="s">
        <v>878</v>
      </c>
      <c r="K1837" t="s">
        <v>180</v>
      </c>
      <c r="L1837">
        <v>200004091</v>
      </c>
    </row>
    <row r="1838" spans="3:12">
      <c r="C1838">
        <v>2100300025</v>
      </c>
      <c r="D1838">
        <v>6426000</v>
      </c>
      <c r="E1838" t="s">
        <v>188</v>
      </c>
      <c r="F1838">
        <v>5210010105</v>
      </c>
      <c r="G1838" s="13">
        <v>10000</v>
      </c>
      <c r="I1838" t="s">
        <v>179</v>
      </c>
      <c r="J1838" t="s">
        <v>878</v>
      </c>
      <c r="K1838" t="s">
        <v>180</v>
      </c>
      <c r="L1838">
        <v>200004092</v>
      </c>
    </row>
    <row r="1839" spans="3:12">
      <c r="C1839">
        <v>2100300025</v>
      </c>
      <c r="D1839">
        <v>6426000</v>
      </c>
      <c r="E1839" t="s">
        <v>188</v>
      </c>
      <c r="F1839">
        <v>5210010105</v>
      </c>
      <c r="G1839" s="13">
        <v>6880</v>
      </c>
      <c r="I1839" t="s">
        <v>179</v>
      </c>
      <c r="J1839" t="s">
        <v>878</v>
      </c>
      <c r="K1839" t="s">
        <v>180</v>
      </c>
      <c r="L1839">
        <v>200003646</v>
      </c>
    </row>
    <row r="1840" spans="3:12">
      <c r="C1840">
        <v>2100300025</v>
      </c>
      <c r="D1840">
        <v>6426000</v>
      </c>
      <c r="E1840" t="s">
        <v>188</v>
      </c>
      <c r="F1840">
        <v>5210010105</v>
      </c>
      <c r="G1840" s="13">
        <v>7585</v>
      </c>
      <c r="I1840" t="s">
        <v>179</v>
      </c>
      <c r="J1840" t="s">
        <v>878</v>
      </c>
      <c r="K1840" t="s">
        <v>180</v>
      </c>
      <c r="L1840">
        <v>200004093</v>
      </c>
    </row>
    <row r="1841" spans="3:12">
      <c r="C1841">
        <v>2100300025</v>
      </c>
      <c r="D1841">
        <v>6426000</v>
      </c>
      <c r="E1841" t="s">
        <v>188</v>
      </c>
      <c r="F1841">
        <v>5210010105</v>
      </c>
      <c r="G1841" s="13">
        <v>70000</v>
      </c>
      <c r="I1841" t="s">
        <v>179</v>
      </c>
      <c r="J1841" t="s">
        <v>878</v>
      </c>
      <c r="K1841" t="s">
        <v>180</v>
      </c>
      <c r="L1841">
        <v>200004094</v>
      </c>
    </row>
    <row r="1842" spans="3:12">
      <c r="C1842">
        <v>2100300025</v>
      </c>
      <c r="D1842">
        <v>6426000</v>
      </c>
      <c r="E1842" t="s">
        <v>188</v>
      </c>
      <c r="F1842">
        <v>5210010105</v>
      </c>
      <c r="G1842" s="13">
        <v>12370</v>
      </c>
      <c r="I1842" t="s">
        <v>179</v>
      </c>
      <c r="J1842" t="s">
        <v>878</v>
      </c>
      <c r="K1842" t="s">
        <v>180</v>
      </c>
      <c r="L1842">
        <v>200004095</v>
      </c>
    </row>
    <row r="1843" spans="3:12">
      <c r="C1843">
        <v>2100300025</v>
      </c>
      <c r="D1843">
        <v>6426000</v>
      </c>
      <c r="E1843" t="s">
        <v>188</v>
      </c>
      <c r="F1843">
        <v>5210010105</v>
      </c>
      <c r="G1843" s="13">
        <v>6420</v>
      </c>
      <c r="I1843" t="s">
        <v>179</v>
      </c>
      <c r="J1843" t="s">
        <v>878</v>
      </c>
      <c r="K1843" t="s">
        <v>180</v>
      </c>
      <c r="L1843">
        <v>200003779</v>
      </c>
    </row>
    <row r="1844" spans="3:12">
      <c r="C1844">
        <v>2100300025</v>
      </c>
      <c r="D1844">
        <v>6426000</v>
      </c>
      <c r="E1844" t="s">
        <v>188</v>
      </c>
      <c r="F1844">
        <v>5210010105</v>
      </c>
      <c r="G1844" s="13">
        <v>38997.4</v>
      </c>
      <c r="I1844" t="s">
        <v>179</v>
      </c>
      <c r="J1844" t="s">
        <v>878</v>
      </c>
      <c r="K1844" t="s">
        <v>180</v>
      </c>
      <c r="L1844">
        <v>200003780</v>
      </c>
    </row>
    <row r="1845" spans="3:12">
      <c r="C1845">
        <v>2100300025</v>
      </c>
      <c r="D1845">
        <v>6426000</v>
      </c>
      <c r="E1845" t="s">
        <v>188</v>
      </c>
      <c r="F1845">
        <v>5210010105</v>
      </c>
      <c r="G1845" s="13">
        <v>6000</v>
      </c>
      <c r="I1845" t="s">
        <v>179</v>
      </c>
      <c r="J1845" t="s">
        <v>878</v>
      </c>
      <c r="K1845" t="s">
        <v>180</v>
      </c>
      <c r="L1845">
        <v>200003782</v>
      </c>
    </row>
    <row r="1846" spans="3:12">
      <c r="C1846">
        <v>2100300025</v>
      </c>
      <c r="D1846">
        <v>6426000</v>
      </c>
      <c r="E1846" t="s">
        <v>188</v>
      </c>
      <c r="F1846">
        <v>5210010105</v>
      </c>
      <c r="G1846" s="13">
        <v>138000</v>
      </c>
      <c r="I1846" t="s">
        <v>179</v>
      </c>
      <c r="J1846" t="s">
        <v>878</v>
      </c>
      <c r="K1846" t="s">
        <v>180</v>
      </c>
      <c r="L1846">
        <v>200004097</v>
      </c>
    </row>
    <row r="1847" spans="3:12">
      <c r="C1847">
        <v>2100300025</v>
      </c>
      <c r="D1847">
        <v>6426000</v>
      </c>
      <c r="E1847" t="s">
        <v>188</v>
      </c>
      <c r="F1847">
        <v>5210010105</v>
      </c>
      <c r="G1847" s="13">
        <v>46368</v>
      </c>
      <c r="I1847" t="s">
        <v>179</v>
      </c>
      <c r="J1847" t="s">
        <v>878</v>
      </c>
      <c r="K1847" t="s">
        <v>180</v>
      </c>
      <c r="L1847">
        <v>200003647</v>
      </c>
    </row>
    <row r="1848" spans="3:12">
      <c r="C1848">
        <v>2100300025</v>
      </c>
      <c r="D1848">
        <v>6426000</v>
      </c>
      <c r="E1848" t="s">
        <v>188</v>
      </c>
      <c r="F1848">
        <v>5210010105</v>
      </c>
      <c r="G1848" s="13">
        <v>37500</v>
      </c>
      <c r="I1848" t="s">
        <v>179</v>
      </c>
      <c r="J1848" t="s">
        <v>878</v>
      </c>
      <c r="K1848" t="s">
        <v>180</v>
      </c>
      <c r="L1848">
        <v>200004098</v>
      </c>
    </row>
    <row r="1849" spans="3:12">
      <c r="C1849">
        <v>2100300025</v>
      </c>
      <c r="D1849">
        <v>6426000</v>
      </c>
      <c r="E1849" t="s">
        <v>188</v>
      </c>
      <c r="F1849">
        <v>5210010105</v>
      </c>
      <c r="G1849" s="13">
        <v>25000</v>
      </c>
      <c r="I1849" t="s">
        <v>179</v>
      </c>
      <c r="J1849" t="s">
        <v>878</v>
      </c>
      <c r="K1849" t="s">
        <v>180</v>
      </c>
      <c r="L1849">
        <v>200003783</v>
      </c>
    </row>
    <row r="1850" spans="3:12">
      <c r="C1850">
        <v>2100300025</v>
      </c>
      <c r="D1850">
        <v>6426000</v>
      </c>
      <c r="E1850" t="s">
        <v>188</v>
      </c>
      <c r="F1850">
        <v>5210010105</v>
      </c>
      <c r="G1850" s="13">
        <v>43320</v>
      </c>
      <c r="I1850" t="s">
        <v>179</v>
      </c>
      <c r="J1850" t="s">
        <v>878</v>
      </c>
      <c r="K1850" t="s">
        <v>180</v>
      </c>
      <c r="L1850">
        <v>200004099</v>
      </c>
    </row>
    <row r="1851" spans="3:12">
      <c r="C1851">
        <v>2100300025</v>
      </c>
      <c r="D1851">
        <v>6426000</v>
      </c>
      <c r="E1851" t="s">
        <v>188</v>
      </c>
      <c r="F1851">
        <v>5210010105</v>
      </c>
      <c r="G1851" s="13">
        <v>313500</v>
      </c>
      <c r="I1851" t="s">
        <v>179</v>
      </c>
      <c r="J1851" t="s">
        <v>878</v>
      </c>
      <c r="K1851" t="s">
        <v>180</v>
      </c>
      <c r="L1851">
        <v>200004100</v>
      </c>
    </row>
    <row r="1852" spans="3:12">
      <c r="C1852">
        <v>2100300025</v>
      </c>
      <c r="D1852">
        <v>6426000</v>
      </c>
      <c r="E1852" t="s">
        <v>188</v>
      </c>
      <c r="F1852">
        <v>5210010105</v>
      </c>
      <c r="G1852" s="13">
        <v>733500</v>
      </c>
      <c r="I1852" t="s">
        <v>179</v>
      </c>
      <c r="J1852" t="s">
        <v>878</v>
      </c>
      <c r="K1852" t="s">
        <v>180</v>
      </c>
      <c r="L1852">
        <v>200004101</v>
      </c>
    </row>
    <row r="1853" spans="3:12">
      <c r="C1853">
        <v>2100300025</v>
      </c>
      <c r="D1853">
        <v>6426000</v>
      </c>
      <c r="E1853" t="s">
        <v>188</v>
      </c>
      <c r="F1853">
        <v>5210010105</v>
      </c>
      <c r="G1853" s="13">
        <v>160000</v>
      </c>
      <c r="I1853" t="s">
        <v>179</v>
      </c>
      <c r="J1853" t="s">
        <v>878</v>
      </c>
      <c r="K1853" t="s">
        <v>180</v>
      </c>
      <c r="L1853">
        <v>200003784</v>
      </c>
    </row>
    <row r="1854" spans="3:12">
      <c r="C1854">
        <v>2100300025</v>
      </c>
      <c r="D1854">
        <v>6426000</v>
      </c>
      <c r="E1854" t="s">
        <v>188</v>
      </c>
      <c r="F1854">
        <v>5210010105</v>
      </c>
      <c r="G1854" s="13">
        <v>554333</v>
      </c>
      <c r="I1854" t="s">
        <v>179</v>
      </c>
      <c r="J1854" t="s">
        <v>878</v>
      </c>
      <c r="K1854" t="s">
        <v>180</v>
      </c>
      <c r="L1854">
        <v>200003786</v>
      </c>
    </row>
    <row r="1855" spans="3:12">
      <c r="C1855">
        <v>2100300025</v>
      </c>
      <c r="D1855">
        <v>6426000</v>
      </c>
      <c r="E1855" t="s">
        <v>188</v>
      </c>
      <c r="F1855">
        <v>5210010105</v>
      </c>
      <c r="G1855" s="13">
        <v>1431100</v>
      </c>
      <c r="I1855" t="s">
        <v>179</v>
      </c>
      <c r="J1855" t="s">
        <v>878</v>
      </c>
      <c r="K1855" t="s">
        <v>180</v>
      </c>
      <c r="L1855">
        <v>200003656</v>
      </c>
    </row>
    <row r="1856" spans="3:12">
      <c r="C1856">
        <v>2100300025</v>
      </c>
      <c r="D1856">
        <v>6426000</v>
      </c>
      <c r="E1856" t="s">
        <v>188</v>
      </c>
      <c r="F1856">
        <v>5210010105</v>
      </c>
      <c r="G1856" s="13">
        <v>12000</v>
      </c>
      <c r="I1856" t="s">
        <v>179</v>
      </c>
      <c r="J1856" t="s">
        <v>805</v>
      </c>
      <c r="K1856" t="s">
        <v>180</v>
      </c>
      <c r="L1856">
        <v>200006506</v>
      </c>
    </row>
    <row r="1857" spans="3:12">
      <c r="C1857">
        <v>2100300025</v>
      </c>
      <c r="D1857">
        <v>6426000</v>
      </c>
      <c r="E1857" t="s">
        <v>188</v>
      </c>
      <c r="F1857">
        <v>5210010105</v>
      </c>
      <c r="G1857" s="13">
        <v>164865.60000000001</v>
      </c>
      <c r="I1857" t="s">
        <v>179</v>
      </c>
      <c r="J1857" t="s">
        <v>805</v>
      </c>
      <c r="K1857" t="s">
        <v>180</v>
      </c>
      <c r="L1857">
        <v>200006508</v>
      </c>
    </row>
    <row r="1858" spans="3:12">
      <c r="C1858">
        <v>2100300025</v>
      </c>
      <c r="D1858">
        <v>6426000</v>
      </c>
      <c r="E1858" t="s">
        <v>188</v>
      </c>
      <c r="F1858">
        <v>5210010105</v>
      </c>
      <c r="G1858" s="13">
        <v>10000</v>
      </c>
      <c r="I1858" t="s">
        <v>179</v>
      </c>
      <c r="J1858" t="s">
        <v>805</v>
      </c>
      <c r="K1858" t="s">
        <v>180</v>
      </c>
      <c r="L1858">
        <v>200006079</v>
      </c>
    </row>
    <row r="1859" spans="3:12">
      <c r="C1859">
        <v>2100300025</v>
      </c>
      <c r="D1859">
        <v>6426000</v>
      </c>
      <c r="E1859" t="s">
        <v>188</v>
      </c>
      <c r="F1859">
        <v>5210010105</v>
      </c>
      <c r="G1859" s="13">
        <v>5755</v>
      </c>
      <c r="I1859" t="s">
        <v>179</v>
      </c>
      <c r="J1859" t="s">
        <v>880</v>
      </c>
      <c r="K1859" t="s">
        <v>180</v>
      </c>
      <c r="L1859">
        <v>200000746</v>
      </c>
    </row>
    <row r="1860" spans="3:12">
      <c r="C1860">
        <v>2100300025</v>
      </c>
      <c r="D1860">
        <v>6426000</v>
      </c>
      <c r="E1860" t="s">
        <v>188</v>
      </c>
      <c r="F1860">
        <v>5210010105</v>
      </c>
      <c r="G1860" s="13">
        <v>6000</v>
      </c>
      <c r="I1860" t="s">
        <v>179</v>
      </c>
      <c r="J1860" t="s">
        <v>880</v>
      </c>
      <c r="K1860" t="s">
        <v>180</v>
      </c>
      <c r="L1860">
        <v>200000747</v>
      </c>
    </row>
    <row r="1861" spans="3:12">
      <c r="C1861">
        <v>2100300025</v>
      </c>
      <c r="D1861">
        <v>6426000</v>
      </c>
      <c r="E1861" t="s">
        <v>188</v>
      </c>
      <c r="F1861">
        <v>5210010105</v>
      </c>
      <c r="G1861" s="13">
        <v>36000</v>
      </c>
      <c r="I1861" t="s">
        <v>179</v>
      </c>
      <c r="J1861" t="s">
        <v>881</v>
      </c>
      <c r="K1861" t="s">
        <v>180</v>
      </c>
      <c r="L1861">
        <v>200000508</v>
      </c>
    </row>
    <row r="1862" spans="3:12">
      <c r="C1862">
        <v>2100300025</v>
      </c>
      <c r="D1862">
        <v>6426000</v>
      </c>
      <c r="E1862" t="s">
        <v>188</v>
      </c>
      <c r="F1862">
        <v>5210010105</v>
      </c>
      <c r="G1862" s="13">
        <v>10131</v>
      </c>
      <c r="I1862" t="s">
        <v>179</v>
      </c>
      <c r="J1862" t="s">
        <v>881</v>
      </c>
      <c r="K1862" t="s">
        <v>180</v>
      </c>
      <c r="L1862">
        <v>200001402</v>
      </c>
    </row>
    <row r="1863" spans="3:12">
      <c r="C1863">
        <v>2100300025</v>
      </c>
      <c r="D1863">
        <v>6426000</v>
      </c>
      <c r="E1863" t="s">
        <v>188</v>
      </c>
      <c r="F1863">
        <v>5210010105</v>
      </c>
      <c r="G1863">
        <v>580</v>
      </c>
      <c r="I1863" t="s">
        <v>179</v>
      </c>
      <c r="J1863" t="s">
        <v>881</v>
      </c>
      <c r="K1863" t="s">
        <v>180</v>
      </c>
      <c r="L1863">
        <v>200001406</v>
      </c>
    </row>
    <row r="1864" spans="3:12">
      <c r="C1864">
        <v>2100300025</v>
      </c>
      <c r="D1864">
        <v>6426000</v>
      </c>
      <c r="E1864" t="s">
        <v>188</v>
      </c>
      <c r="F1864">
        <v>5210010105</v>
      </c>
      <c r="G1864" s="13">
        <v>2281</v>
      </c>
      <c r="I1864" t="s">
        <v>179</v>
      </c>
      <c r="J1864" t="s">
        <v>875</v>
      </c>
      <c r="K1864" t="s">
        <v>180</v>
      </c>
      <c r="L1864">
        <v>200001497</v>
      </c>
    </row>
    <row r="1865" spans="3:12">
      <c r="C1865">
        <v>2100300025</v>
      </c>
      <c r="D1865">
        <v>6426000</v>
      </c>
      <c r="E1865" t="s">
        <v>188</v>
      </c>
      <c r="F1865">
        <v>5210010105</v>
      </c>
      <c r="G1865">
        <v>400</v>
      </c>
      <c r="I1865" t="s">
        <v>179</v>
      </c>
      <c r="J1865" t="s">
        <v>882</v>
      </c>
      <c r="K1865" t="s">
        <v>180</v>
      </c>
      <c r="L1865">
        <v>200004992</v>
      </c>
    </row>
    <row r="1866" spans="3:12">
      <c r="C1866">
        <v>2100300025</v>
      </c>
      <c r="D1866">
        <v>6426000</v>
      </c>
      <c r="E1866" t="s">
        <v>188</v>
      </c>
      <c r="F1866">
        <v>5210010105</v>
      </c>
      <c r="G1866" s="13">
        <v>97022.25</v>
      </c>
      <c r="I1866" t="s">
        <v>179</v>
      </c>
      <c r="J1866" t="s">
        <v>882</v>
      </c>
      <c r="K1866" t="s">
        <v>180</v>
      </c>
      <c r="L1866">
        <v>200004993</v>
      </c>
    </row>
    <row r="1867" spans="3:12">
      <c r="C1867">
        <v>2100300025</v>
      </c>
      <c r="D1867">
        <v>6426000</v>
      </c>
      <c r="E1867" t="s">
        <v>188</v>
      </c>
      <c r="F1867">
        <v>5210010105</v>
      </c>
      <c r="G1867" s="13">
        <v>12500</v>
      </c>
      <c r="I1867" t="s">
        <v>179</v>
      </c>
      <c r="J1867" t="s">
        <v>878</v>
      </c>
      <c r="K1867" t="s">
        <v>180</v>
      </c>
      <c r="L1867">
        <v>200004103</v>
      </c>
    </row>
    <row r="1868" spans="3:12">
      <c r="C1868">
        <v>2100300025</v>
      </c>
      <c r="D1868">
        <v>6426000</v>
      </c>
      <c r="E1868" t="s">
        <v>188</v>
      </c>
      <c r="F1868">
        <v>5210010105</v>
      </c>
      <c r="G1868" s="13">
        <v>600000</v>
      </c>
      <c r="I1868" t="s">
        <v>179</v>
      </c>
      <c r="J1868" t="s">
        <v>878</v>
      </c>
      <c r="K1868" t="s">
        <v>180</v>
      </c>
      <c r="L1868">
        <v>200003650</v>
      </c>
    </row>
    <row r="1869" spans="3:12">
      <c r="C1869">
        <v>2100300025</v>
      </c>
      <c r="D1869">
        <v>6426000</v>
      </c>
      <c r="E1869" t="s">
        <v>188</v>
      </c>
      <c r="F1869">
        <v>5210010105</v>
      </c>
      <c r="G1869" s="13">
        <v>126000</v>
      </c>
      <c r="I1869" t="s">
        <v>179</v>
      </c>
      <c r="J1869" t="s">
        <v>805</v>
      </c>
      <c r="K1869" t="s">
        <v>180</v>
      </c>
      <c r="L1869">
        <v>200006076</v>
      </c>
    </row>
    <row r="1870" spans="3:12">
      <c r="C1870">
        <v>2100300025</v>
      </c>
      <c r="D1870">
        <v>6426000</v>
      </c>
      <c r="E1870" t="s">
        <v>188</v>
      </c>
      <c r="F1870">
        <v>5210010105</v>
      </c>
      <c r="G1870" s="13">
        <v>52569</v>
      </c>
      <c r="I1870" t="s">
        <v>179</v>
      </c>
      <c r="J1870" t="s">
        <v>881</v>
      </c>
      <c r="K1870" t="s">
        <v>180</v>
      </c>
      <c r="L1870">
        <v>200001403</v>
      </c>
    </row>
    <row r="1871" spans="3:12">
      <c r="C1871">
        <v>2100300025</v>
      </c>
      <c r="D1871">
        <v>6426000</v>
      </c>
      <c r="E1871" t="s">
        <v>188</v>
      </c>
      <c r="F1871">
        <v>5210010105</v>
      </c>
      <c r="G1871" s="13">
        <v>14400</v>
      </c>
      <c r="I1871" t="s">
        <v>179</v>
      </c>
      <c r="J1871" t="s">
        <v>881</v>
      </c>
      <c r="K1871" t="s">
        <v>180</v>
      </c>
      <c r="L1871">
        <v>200000743</v>
      </c>
    </row>
    <row r="1872" spans="3:12">
      <c r="C1872">
        <v>2100300025</v>
      </c>
      <c r="D1872">
        <v>6426000</v>
      </c>
      <c r="E1872" t="s">
        <v>188</v>
      </c>
      <c r="F1872">
        <v>5210010105</v>
      </c>
      <c r="G1872" s="13">
        <v>158001</v>
      </c>
      <c r="I1872" t="s">
        <v>179</v>
      </c>
      <c r="J1872" t="s">
        <v>881</v>
      </c>
      <c r="K1872" t="s">
        <v>180</v>
      </c>
      <c r="L1872">
        <v>200001404</v>
      </c>
    </row>
    <row r="1873" spans="3:12">
      <c r="C1873">
        <v>2100300025</v>
      </c>
      <c r="D1873">
        <v>6426000</v>
      </c>
      <c r="E1873" t="s">
        <v>188</v>
      </c>
      <c r="F1873">
        <v>5210010105</v>
      </c>
      <c r="G1873">
        <v>663.4</v>
      </c>
      <c r="I1873" t="s">
        <v>179</v>
      </c>
      <c r="J1873" t="s">
        <v>882</v>
      </c>
      <c r="K1873" t="s">
        <v>180</v>
      </c>
      <c r="L1873">
        <v>200004980</v>
      </c>
    </row>
    <row r="1874" spans="3:12">
      <c r="C1874">
        <v>2100300025</v>
      </c>
      <c r="D1874">
        <v>6426000</v>
      </c>
      <c r="E1874" t="s">
        <v>188</v>
      </c>
      <c r="F1874">
        <v>5210010105</v>
      </c>
      <c r="G1874">
        <v>385.2</v>
      </c>
      <c r="I1874" t="s">
        <v>179</v>
      </c>
      <c r="J1874" t="s">
        <v>882</v>
      </c>
      <c r="K1874" t="s">
        <v>180</v>
      </c>
      <c r="L1874">
        <v>200004981</v>
      </c>
    </row>
    <row r="1875" spans="3:12">
      <c r="C1875">
        <v>2100300025</v>
      </c>
      <c r="D1875">
        <v>6426000</v>
      </c>
      <c r="E1875" t="s">
        <v>188</v>
      </c>
      <c r="F1875">
        <v>5210010105</v>
      </c>
      <c r="G1875" s="13">
        <v>2808</v>
      </c>
      <c r="I1875" t="s">
        <v>179</v>
      </c>
      <c r="J1875" t="s">
        <v>882</v>
      </c>
      <c r="K1875" t="s">
        <v>180</v>
      </c>
      <c r="L1875">
        <v>200004982</v>
      </c>
    </row>
    <row r="1876" spans="3:12">
      <c r="C1876">
        <v>2100300025</v>
      </c>
      <c r="D1876">
        <v>6426000</v>
      </c>
      <c r="E1876" t="s">
        <v>188</v>
      </c>
      <c r="F1876">
        <v>5210010105</v>
      </c>
      <c r="G1876" s="13">
        <v>8750</v>
      </c>
      <c r="I1876" t="s">
        <v>179</v>
      </c>
      <c r="J1876" t="s">
        <v>882</v>
      </c>
      <c r="K1876" t="s">
        <v>180</v>
      </c>
      <c r="L1876">
        <v>200004983</v>
      </c>
    </row>
    <row r="1877" spans="3:12">
      <c r="C1877">
        <v>2100300025</v>
      </c>
      <c r="D1877">
        <v>6426000</v>
      </c>
      <c r="E1877" t="s">
        <v>188</v>
      </c>
      <c r="F1877">
        <v>5210010105</v>
      </c>
      <c r="G1877">
        <v>480</v>
      </c>
      <c r="I1877" t="s">
        <v>179</v>
      </c>
      <c r="J1877" t="s">
        <v>882</v>
      </c>
      <c r="K1877" t="s">
        <v>180</v>
      </c>
      <c r="L1877">
        <v>200004984</v>
      </c>
    </row>
    <row r="1878" spans="3:12">
      <c r="C1878">
        <v>2100300025</v>
      </c>
      <c r="D1878">
        <v>6426000</v>
      </c>
      <c r="E1878" t="s">
        <v>188</v>
      </c>
      <c r="F1878">
        <v>5210010105</v>
      </c>
      <c r="G1878">
        <v>500</v>
      </c>
      <c r="I1878" t="s">
        <v>179</v>
      </c>
      <c r="J1878" t="s">
        <v>882</v>
      </c>
      <c r="K1878" t="s">
        <v>180</v>
      </c>
      <c r="L1878">
        <v>200004985</v>
      </c>
    </row>
    <row r="1879" spans="3:12">
      <c r="C1879">
        <v>2100300025</v>
      </c>
      <c r="D1879">
        <v>6426000</v>
      </c>
      <c r="E1879" t="s">
        <v>188</v>
      </c>
      <c r="F1879">
        <v>5210010105</v>
      </c>
      <c r="G1879" s="13">
        <v>4943.3999999999996</v>
      </c>
      <c r="I1879" t="s">
        <v>179</v>
      </c>
      <c r="J1879" t="s">
        <v>882</v>
      </c>
      <c r="K1879" t="s">
        <v>180</v>
      </c>
      <c r="L1879">
        <v>200004986</v>
      </c>
    </row>
    <row r="1880" spans="3:12">
      <c r="C1880">
        <v>2100300025</v>
      </c>
      <c r="D1880">
        <v>6426000</v>
      </c>
      <c r="E1880" t="s">
        <v>188</v>
      </c>
      <c r="F1880">
        <v>5210010105</v>
      </c>
      <c r="G1880">
        <v>630</v>
      </c>
      <c r="I1880" t="s">
        <v>179</v>
      </c>
      <c r="J1880" t="s">
        <v>882</v>
      </c>
      <c r="K1880" t="s">
        <v>180</v>
      </c>
      <c r="L1880">
        <v>200004987</v>
      </c>
    </row>
    <row r="1881" spans="3:12">
      <c r="C1881">
        <v>2100300025</v>
      </c>
      <c r="D1881">
        <v>6426000</v>
      </c>
      <c r="E1881" t="s">
        <v>188</v>
      </c>
      <c r="F1881">
        <v>5210010105</v>
      </c>
      <c r="G1881" s="13">
        <v>1060</v>
      </c>
      <c r="I1881" t="s">
        <v>179</v>
      </c>
      <c r="J1881" t="s">
        <v>882</v>
      </c>
      <c r="K1881" t="s">
        <v>180</v>
      </c>
      <c r="L1881">
        <v>200004988</v>
      </c>
    </row>
    <row r="1882" spans="3:12">
      <c r="C1882">
        <v>2100300025</v>
      </c>
      <c r="D1882">
        <v>6426000</v>
      </c>
      <c r="E1882" t="s">
        <v>188</v>
      </c>
      <c r="F1882">
        <v>5210010105</v>
      </c>
      <c r="G1882">
        <v>90</v>
      </c>
      <c r="I1882" t="s">
        <v>179</v>
      </c>
      <c r="J1882" t="s">
        <v>882</v>
      </c>
      <c r="K1882" t="s">
        <v>180</v>
      </c>
      <c r="L1882">
        <v>200004989</v>
      </c>
    </row>
    <row r="1883" spans="3:12">
      <c r="C1883">
        <v>2100300025</v>
      </c>
      <c r="D1883">
        <v>6426000</v>
      </c>
      <c r="E1883" t="s">
        <v>188</v>
      </c>
      <c r="F1883">
        <v>5210010105</v>
      </c>
      <c r="G1883">
        <v>39.78</v>
      </c>
      <c r="I1883" t="s">
        <v>179</v>
      </c>
      <c r="J1883" t="s">
        <v>882</v>
      </c>
      <c r="K1883" t="s">
        <v>180</v>
      </c>
      <c r="L1883">
        <v>200004990</v>
      </c>
    </row>
    <row r="1884" spans="3:12">
      <c r="C1884">
        <v>2100300025</v>
      </c>
      <c r="D1884">
        <v>6426000</v>
      </c>
      <c r="E1884" t="s">
        <v>188</v>
      </c>
      <c r="F1884">
        <v>5210010105</v>
      </c>
      <c r="G1884">
        <v>180</v>
      </c>
      <c r="I1884" t="s">
        <v>179</v>
      </c>
      <c r="J1884" t="s">
        <v>882</v>
      </c>
      <c r="K1884" t="s">
        <v>180</v>
      </c>
      <c r="L1884">
        <v>200004991</v>
      </c>
    </row>
    <row r="1885" spans="3:12">
      <c r="C1885">
        <v>2100300025</v>
      </c>
      <c r="D1885">
        <v>6426000</v>
      </c>
      <c r="E1885" t="s">
        <v>188</v>
      </c>
      <c r="F1885">
        <v>5210010105</v>
      </c>
      <c r="G1885" s="13">
        <v>6535</v>
      </c>
      <c r="I1885" t="s">
        <v>179</v>
      </c>
      <c r="J1885" t="s">
        <v>787</v>
      </c>
      <c r="K1885" t="s">
        <v>180</v>
      </c>
      <c r="L1885">
        <v>200005141</v>
      </c>
    </row>
    <row r="1886" spans="3:12">
      <c r="C1886">
        <v>2100300025</v>
      </c>
      <c r="D1886">
        <v>6426000</v>
      </c>
      <c r="E1886" t="s">
        <v>188</v>
      </c>
      <c r="F1886">
        <v>5210010105</v>
      </c>
      <c r="G1886" s="13">
        <v>3500</v>
      </c>
      <c r="I1886" t="s">
        <v>179</v>
      </c>
      <c r="J1886" t="s">
        <v>882</v>
      </c>
      <c r="K1886" t="s">
        <v>180</v>
      </c>
      <c r="L1886">
        <v>200005128</v>
      </c>
    </row>
    <row r="1887" spans="3:12">
      <c r="C1887">
        <v>2100300025</v>
      </c>
      <c r="D1887">
        <v>6426000</v>
      </c>
      <c r="E1887" t="s">
        <v>188</v>
      </c>
      <c r="F1887">
        <v>5210010105</v>
      </c>
      <c r="G1887" s="13">
        <v>3605</v>
      </c>
      <c r="I1887" t="s">
        <v>179</v>
      </c>
      <c r="J1887" t="s">
        <v>882</v>
      </c>
      <c r="K1887" t="s">
        <v>180</v>
      </c>
      <c r="L1887">
        <v>200004971</v>
      </c>
    </row>
    <row r="1888" spans="3:12">
      <c r="C1888">
        <v>2100300025</v>
      </c>
      <c r="D1888">
        <v>6426000</v>
      </c>
      <c r="E1888" t="s">
        <v>188</v>
      </c>
      <c r="F1888">
        <v>5210010105</v>
      </c>
      <c r="G1888">
        <v>105.9</v>
      </c>
      <c r="I1888" t="s">
        <v>179</v>
      </c>
      <c r="J1888" t="s">
        <v>882</v>
      </c>
      <c r="K1888" t="s">
        <v>180</v>
      </c>
      <c r="L1888">
        <v>200000494</v>
      </c>
    </row>
    <row r="1889" spans="3:12">
      <c r="C1889">
        <v>2100300025</v>
      </c>
      <c r="D1889">
        <v>6426000</v>
      </c>
      <c r="E1889" t="s">
        <v>188</v>
      </c>
      <c r="F1889">
        <v>5210010105</v>
      </c>
      <c r="G1889" s="13">
        <v>93250.5</v>
      </c>
      <c r="I1889" t="s">
        <v>179</v>
      </c>
      <c r="J1889" t="s">
        <v>882</v>
      </c>
      <c r="K1889" t="s">
        <v>180</v>
      </c>
      <c r="L1889">
        <v>200004972</v>
      </c>
    </row>
    <row r="1890" spans="3:12">
      <c r="C1890">
        <v>2100300025</v>
      </c>
      <c r="D1890">
        <v>6426000</v>
      </c>
      <c r="E1890" t="s">
        <v>188</v>
      </c>
      <c r="F1890">
        <v>5210010105</v>
      </c>
      <c r="G1890" s="13">
        <v>7800</v>
      </c>
      <c r="I1890" t="s">
        <v>179</v>
      </c>
      <c r="J1890" t="s">
        <v>882</v>
      </c>
      <c r="K1890" t="s">
        <v>180</v>
      </c>
      <c r="L1890">
        <v>200004973</v>
      </c>
    </row>
    <row r="1891" spans="3:12">
      <c r="C1891">
        <v>2100300025</v>
      </c>
      <c r="D1891">
        <v>6426000</v>
      </c>
      <c r="E1891" t="s">
        <v>188</v>
      </c>
      <c r="F1891">
        <v>5210010105</v>
      </c>
      <c r="G1891" s="13">
        <v>22000</v>
      </c>
      <c r="I1891" t="s">
        <v>179</v>
      </c>
      <c r="J1891" t="s">
        <v>810</v>
      </c>
      <c r="K1891" t="s">
        <v>180</v>
      </c>
      <c r="L1891">
        <v>200008609</v>
      </c>
    </row>
    <row r="1892" spans="3:12">
      <c r="C1892">
        <v>2100300025</v>
      </c>
      <c r="D1892">
        <v>6426000</v>
      </c>
      <c r="E1892" t="s">
        <v>188</v>
      </c>
      <c r="F1892">
        <v>5210010105</v>
      </c>
      <c r="G1892" s="13">
        <v>34307</v>
      </c>
      <c r="I1892" t="s">
        <v>179</v>
      </c>
      <c r="J1892" t="s">
        <v>883</v>
      </c>
      <c r="K1892" t="s">
        <v>180</v>
      </c>
      <c r="L1892">
        <v>200008125</v>
      </c>
    </row>
    <row r="1893" spans="3:12">
      <c r="C1893">
        <v>2100300025</v>
      </c>
      <c r="D1893">
        <v>6426000</v>
      </c>
      <c r="E1893" t="s">
        <v>188</v>
      </c>
      <c r="F1893">
        <v>5210010105</v>
      </c>
      <c r="G1893" s="13">
        <v>677563</v>
      </c>
      <c r="I1893" t="s">
        <v>179</v>
      </c>
      <c r="J1893" t="s">
        <v>883</v>
      </c>
      <c r="K1893" t="s">
        <v>180</v>
      </c>
      <c r="L1893">
        <v>200007884</v>
      </c>
    </row>
    <row r="1894" spans="3:12">
      <c r="C1894">
        <v>2100300025</v>
      </c>
      <c r="D1894">
        <v>6426000</v>
      </c>
      <c r="E1894" t="s">
        <v>188</v>
      </c>
      <c r="F1894">
        <v>5210010105</v>
      </c>
      <c r="G1894">
        <v>825</v>
      </c>
      <c r="I1894" t="s">
        <v>179</v>
      </c>
      <c r="J1894" t="s">
        <v>883</v>
      </c>
      <c r="K1894" t="s">
        <v>180</v>
      </c>
      <c r="L1894">
        <v>200007794</v>
      </c>
    </row>
    <row r="1895" spans="3:12">
      <c r="C1895">
        <v>2100300025</v>
      </c>
      <c r="D1895">
        <v>6426000</v>
      </c>
      <c r="E1895" t="s">
        <v>188</v>
      </c>
      <c r="F1895">
        <v>5210010105</v>
      </c>
      <c r="G1895" s="13">
        <v>2675</v>
      </c>
      <c r="I1895" t="s">
        <v>179</v>
      </c>
      <c r="J1895" t="s">
        <v>883</v>
      </c>
      <c r="K1895" t="s">
        <v>180</v>
      </c>
      <c r="L1895">
        <v>200007859</v>
      </c>
    </row>
    <row r="1896" spans="3:12">
      <c r="C1896">
        <v>2100300025</v>
      </c>
      <c r="D1896">
        <v>6426000</v>
      </c>
      <c r="E1896" t="s">
        <v>188</v>
      </c>
      <c r="F1896">
        <v>5210010105</v>
      </c>
      <c r="G1896">
        <v>480</v>
      </c>
      <c r="I1896" t="s">
        <v>179</v>
      </c>
      <c r="J1896" t="s">
        <v>883</v>
      </c>
      <c r="K1896" t="s">
        <v>180</v>
      </c>
      <c r="L1896">
        <v>200007795</v>
      </c>
    </row>
    <row r="1897" spans="3:12">
      <c r="C1897">
        <v>2100300025</v>
      </c>
      <c r="D1897">
        <v>6426000</v>
      </c>
      <c r="E1897" t="s">
        <v>188</v>
      </c>
      <c r="F1897">
        <v>5210010105</v>
      </c>
      <c r="G1897" s="13">
        <v>8200</v>
      </c>
      <c r="I1897" t="s">
        <v>179</v>
      </c>
      <c r="J1897" t="s">
        <v>883</v>
      </c>
      <c r="K1897" t="s">
        <v>180</v>
      </c>
      <c r="L1897">
        <v>200007796</v>
      </c>
    </row>
    <row r="1898" spans="3:12">
      <c r="C1898">
        <v>2100300025</v>
      </c>
      <c r="D1898">
        <v>6426000</v>
      </c>
      <c r="E1898" t="s">
        <v>188</v>
      </c>
      <c r="F1898">
        <v>5210010105</v>
      </c>
      <c r="G1898" s="13">
        <v>20000</v>
      </c>
      <c r="I1898" t="s">
        <v>179</v>
      </c>
      <c r="J1898" t="s">
        <v>883</v>
      </c>
      <c r="K1898" t="s">
        <v>180</v>
      </c>
      <c r="L1898">
        <v>200007797</v>
      </c>
    </row>
    <row r="1899" spans="3:12">
      <c r="C1899">
        <v>2100300025</v>
      </c>
      <c r="D1899">
        <v>6426000</v>
      </c>
      <c r="E1899" t="s">
        <v>188</v>
      </c>
      <c r="F1899">
        <v>5210010105</v>
      </c>
      <c r="G1899" s="13">
        <v>87686.5</v>
      </c>
      <c r="I1899" t="s">
        <v>179</v>
      </c>
      <c r="J1899" t="s">
        <v>883</v>
      </c>
      <c r="K1899" t="s">
        <v>180</v>
      </c>
      <c r="L1899">
        <v>200007798</v>
      </c>
    </row>
    <row r="1900" spans="3:12">
      <c r="C1900">
        <v>2100300025</v>
      </c>
      <c r="D1900">
        <v>6426000</v>
      </c>
      <c r="E1900" t="s">
        <v>188</v>
      </c>
      <c r="F1900">
        <v>5210010105</v>
      </c>
      <c r="G1900">
        <v>700</v>
      </c>
      <c r="I1900" t="s">
        <v>179</v>
      </c>
      <c r="J1900" t="s">
        <v>883</v>
      </c>
      <c r="K1900" t="s">
        <v>180</v>
      </c>
      <c r="L1900">
        <v>200007799</v>
      </c>
    </row>
    <row r="1901" spans="3:12">
      <c r="C1901">
        <v>2100300025</v>
      </c>
      <c r="D1901">
        <v>6426000</v>
      </c>
      <c r="E1901" t="s">
        <v>188</v>
      </c>
      <c r="F1901">
        <v>5210010105</v>
      </c>
      <c r="G1901" s="13">
        <v>1600</v>
      </c>
      <c r="I1901" t="s">
        <v>179</v>
      </c>
      <c r="J1901" t="s">
        <v>883</v>
      </c>
      <c r="K1901" t="s">
        <v>180</v>
      </c>
      <c r="L1901">
        <v>200007800</v>
      </c>
    </row>
    <row r="1902" spans="3:12">
      <c r="C1902">
        <v>2100300025</v>
      </c>
      <c r="D1902">
        <v>6426000</v>
      </c>
      <c r="E1902" t="s">
        <v>188</v>
      </c>
      <c r="F1902">
        <v>5210010105</v>
      </c>
      <c r="G1902" s="13">
        <v>5000</v>
      </c>
      <c r="I1902" t="s">
        <v>179</v>
      </c>
      <c r="J1902" t="s">
        <v>883</v>
      </c>
      <c r="K1902" t="s">
        <v>180</v>
      </c>
      <c r="L1902">
        <v>200006997</v>
      </c>
    </row>
    <row r="1903" spans="3:12">
      <c r="C1903">
        <v>2100300025</v>
      </c>
      <c r="D1903">
        <v>6426000</v>
      </c>
      <c r="E1903" t="s">
        <v>188</v>
      </c>
      <c r="F1903">
        <v>5210010105</v>
      </c>
      <c r="G1903" s="13">
        <v>9600</v>
      </c>
      <c r="I1903" t="s">
        <v>179</v>
      </c>
      <c r="J1903" t="s">
        <v>884</v>
      </c>
      <c r="K1903" t="s">
        <v>180</v>
      </c>
      <c r="L1903">
        <v>200007857</v>
      </c>
    </row>
    <row r="1904" spans="3:12">
      <c r="C1904">
        <v>2100300025</v>
      </c>
      <c r="D1904">
        <v>6426000</v>
      </c>
      <c r="E1904" t="s">
        <v>188</v>
      </c>
      <c r="F1904">
        <v>5210010105</v>
      </c>
      <c r="G1904" s="13">
        <v>19186</v>
      </c>
      <c r="I1904" t="s">
        <v>179</v>
      </c>
      <c r="J1904" t="s">
        <v>885</v>
      </c>
      <c r="K1904" t="s">
        <v>180</v>
      </c>
      <c r="L1904">
        <v>200011289</v>
      </c>
    </row>
    <row r="1905" spans="3:12">
      <c r="C1905">
        <v>2100300025</v>
      </c>
      <c r="D1905">
        <v>6426000</v>
      </c>
      <c r="E1905" t="s">
        <v>188</v>
      </c>
      <c r="F1905">
        <v>5210010105</v>
      </c>
      <c r="G1905">
        <v>810</v>
      </c>
      <c r="I1905" t="s">
        <v>179</v>
      </c>
      <c r="J1905" t="s">
        <v>885</v>
      </c>
      <c r="K1905" t="s">
        <v>180</v>
      </c>
      <c r="L1905">
        <v>200011290</v>
      </c>
    </row>
    <row r="1906" spans="3:12">
      <c r="C1906">
        <v>2100300025</v>
      </c>
      <c r="D1906">
        <v>6426000</v>
      </c>
      <c r="E1906" t="s">
        <v>188</v>
      </c>
      <c r="F1906">
        <v>5210010105</v>
      </c>
      <c r="G1906">
        <v>320</v>
      </c>
      <c r="I1906" t="s">
        <v>179</v>
      </c>
      <c r="J1906" t="s">
        <v>885</v>
      </c>
      <c r="K1906" t="s">
        <v>180</v>
      </c>
      <c r="L1906">
        <v>200011902</v>
      </c>
    </row>
    <row r="1907" spans="3:12">
      <c r="C1907">
        <v>2100300025</v>
      </c>
      <c r="D1907">
        <v>6426000</v>
      </c>
      <c r="E1907" t="s">
        <v>188</v>
      </c>
      <c r="F1907">
        <v>5210010105</v>
      </c>
      <c r="G1907" s="13">
        <v>3360</v>
      </c>
      <c r="I1907" t="s">
        <v>179</v>
      </c>
      <c r="J1907" t="s">
        <v>885</v>
      </c>
      <c r="K1907" t="s">
        <v>180</v>
      </c>
      <c r="L1907">
        <v>200011903</v>
      </c>
    </row>
    <row r="1908" spans="3:12">
      <c r="C1908">
        <v>2100300025</v>
      </c>
      <c r="D1908">
        <v>6426000</v>
      </c>
      <c r="E1908" t="s">
        <v>188</v>
      </c>
      <c r="F1908">
        <v>5210010105</v>
      </c>
      <c r="G1908">
        <v>500</v>
      </c>
      <c r="I1908" t="s">
        <v>179</v>
      </c>
      <c r="J1908" t="s">
        <v>885</v>
      </c>
      <c r="K1908" t="s">
        <v>180</v>
      </c>
      <c r="L1908">
        <v>200011293</v>
      </c>
    </row>
    <row r="1909" spans="3:12">
      <c r="C1909">
        <v>2100300025</v>
      </c>
      <c r="D1909">
        <v>6426000</v>
      </c>
      <c r="E1909" t="s">
        <v>188</v>
      </c>
      <c r="F1909">
        <v>5210010105</v>
      </c>
      <c r="G1909" s="13">
        <v>220317</v>
      </c>
      <c r="I1909" t="s">
        <v>179</v>
      </c>
      <c r="J1909" t="s">
        <v>885</v>
      </c>
      <c r="K1909" t="s">
        <v>180</v>
      </c>
      <c r="L1909">
        <v>200011298</v>
      </c>
    </row>
    <row r="1910" spans="3:12">
      <c r="C1910">
        <v>2100300025</v>
      </c>
      <c r="D1910">
        <v>6426000</v>
      </c>
      <c r="E1910" t="s">
        <v>188</v>
      </c>
      <c r="F1910">
        <v>5210010105</v>
      </c>
      <c r="G1910" s="13">
        <v>35203</v>
      </c>
      <c r="I1910" t="s">
        <v>179</v>
      </c>
      <c r="J1910" t="s">
        <v>885</v>
      </c>
      <c r="K1910" t="s">
        <v>180</v>
      </c>
      <c r="L1910">
        <v>200011300</v>
      </c>
    </row>
    <row r="1911" spans="3:12">
      <c r="C1911">
        <v>2100300025</v>
      </c>
      <c r="D1911">
        <v>6426000</v>
      </c>
      <c r="E1911" t="s">
        <v>188</v>
      </c>
      <c r="F1911">
        <v>5210010105</v>
      </c>
      <c r="G1911" s="13">
        <v>4000</v>
      </c>
      <c r="I1911" t="s">
        <v>179</v>
      </c>
      <c r="J1911" t="s">
        <v>886</v>
      </c>
      <c r="K1911" t="s">
        <v>180</v>
      </c>
      <c r="L1911">
        <v>200007759</v>
      </c>
    </row>
    <row r="1912" spans="3:12">
      <c r="C1912">
        <v>2100300025</v>
      </c>
      <c r="D1912">
        <v>6426000</v>
      </c>
      <c r="E1912" t="s">
        <v>188</v>
      </c>
      <c r="F1912">
        <v>5210010105</v>
      </c>
      <c r="G1912" s="13">
        <v>5000</v>
      </c>
      <c r="I1912" t="s">
        <v>179</v>
      </c>
      <c r="J1912" t="s">
        <v>887</v>
      </c>
      <c r="K1912" t="s">
        <v>180</v>
      </c>
      <c r="L1912">
        <v>200008355</v>
      </c>
    </row>
    <row r="1913" spans="3:12">
      <c r="C1913">
        <v>2100300025</v>
      </c>
      <c r="D1913">
        <v>6426000</v>
      </c>
      <c r="E1913" t="s">
        <v>188</v>
      </c>
      <c r="F1913">
        <v>5210010105</v>
      </c>
      <c r="G1913" s="13">
        <v>4000</v>
      </c>
      <c r="I1913" t="s">
        <v>179</v>
      </c>
      <c r="J1913" t="s">
        <v>887</v>
      </c>
      <c r="K1913" t="s">
        <v>180</v>
      </c>
      <c r="L1913">
        <v>200009125</v>
      </c>
    </row>
    <row r="1914" spans="3:12">
      <c r="C1914">
        <v>2100300025</v>
      </c>
      <c r="D1914">
        <v>6426000</v>
      </c>
      <c r="E1914" t="s">
        <v>188</v>
      </c>
      <c r="F1914">
        <v>5210010105</v>
      </c>
      <c r="G1914" s="13">
        <v>31500</v>
      </c>
      <c r="I1914" t="s">
        <v>179</v>
      </c>
      <c r="J1914" t="s">
        <v>887</v>
      </c>
      <c r="K1914" t="s">
        <v>180</v>
      </c>
      <c r="L1914">
        <v>200006268</v>
      </c>
    </row>
    <row r="1915" spans="3:12">
      <c r="C1915">
        <v>2100300025</v>
      </c>
      <c r="D1915">
        <v>6426000</v>
      </c>
      <c r="E1915" t="s">
        <v>188</v>
      </c>
      <c r="F1915">
        <v>5210010105</v>
      </c>
      <c r="G1915" s="13">
        <v>41000</v>
      </c>
      <c r="I1915" t="s">
        <v>179</v>
      </c>
      <c r="J1915" t="s">
        <v>887</v>
      </c>
      <c r="K1915" t="s">
        <v>180</v>
      </c>
      <c r="L1915">
        <v>200008356</v>
      </c>
    </row>
    <row r="1916" spans="3:12">
      <c r="C1916">
        <v>2100300025</v>
      </c>
      <c r="D1916">
        <v>6426000</v>
      </c>
      <c r="E1916" t="s">
        <v>188</v>
      </c>
      <c r="F1916">
        <v>5210010105</v>
      </c>
      <c r="G1916" s="13">
        <v>32500</v>
      </c>
      <c r="I1916" t="s">
        <v>179</v>
      </c>
      <c r="J1916" t="s">
        <v>887</v>
      </c>
      <c r="K1916" t="s">
        <v>180</v>
      </c>
      <c r="L1916">
        <v>200008357</v>
      </c>
    </row>
    <row r="1917" spans="3:12">
      <c r="C1917">
        <v>2100300025</v>
      </c>
      <c r="D1917">
        <v>6426000</v>
      </c>
      <c r="E1917" t="s">
        <v>188</v>
      </c>
      <c r="F1917">
        <v>5210010105</v>
      </c>
      <c r="G1917">
        <v>410</v>
      </c>
      <c r="I1917" t="s">
        <v>179</v>
      </c>
      <c r="J1917" t="s">
        <v>887</v>
      </c>
      <c r="K1917" t="s">
        <v>180</v>
      </c>
      <c r="L1917">
        <v>200008358</v>
      </c>
    </row>
    <row r="1918" spans="3:12">
      <c r="C1918">
        <v>2100300025</v>
      </c>
      <c r="D1918">
        <v>6426000</v>
      </c>
      <c r="E1918" t="s">
        <v>188</v>
      </c>
      <c r="F1918">
        <v>5210010105</v>
      </c>
      <c r="G1918" s="13">
        <v>2000</v>
      </c>
      <c r="I1918" t="s">
        <v>179</v>
      </c>
      <c r="J1918" t="s">
        <v>887</v>
      </c>
      <c r="K1918" t="s">
        <v>180</v>
      </c>
      <c r="L1918">
        <v>200008359</v>
      </c>
    </row>
    <row r="1919" spans="3:12">
      <c r="C1919">
        <v>2100300025</v>
      </c>
      <c r="D1919">
        <v>6426000</v>
      </c>
      <c r="E1919" t="s">
        <v>188</v>
      </c>
      <c r="F1919">
        <v>5210010105</v>
      </c>
      <c r="G1919" s="13">
        <v>106830</v>
      </c>
      <c r="I1919" t="s">
        <v>179</v>
      </c>
      <c r="J1919" t="s">
        <v>887</v>
      </c>
      <c r="K1919" t="s">
        <v>180</v>
      </c>
      <c r="L1919">
        <v>200008360</v>
      </c>
    </row>
    <row r="1920" spans="3:12">
      <c r="C1920">
        <v>2100300025</v>
      </c>
      <c r="D1920">
        <v>6426000</v>
      </c>
      <c r="E1920" t="s">
        <v>188</v>
      </c>
      <c r="F1920">
        <v>5210010105</v>
      </c>
      <c r="G1920">
        <v>495</v>
      </c>
      <c r="I1920" t="s">
        <v>179</v>
      </c>
      <c r="J1920" t="s">
        <v>887</v>
      </c>
      <c r="K1920" t="s">
        <v>180</v>
      </c>
      <c r="L1920">
        <v>200008361</v>
      </c>
    </row>
    <row r="1921" spans="3:12">
      <c r="C1921">
        <v>2100300025</v>
      </c>
      <c r="D1921">
        <v>6426000</v>
      </c>
      <c r="E1921" t="s">
        <v>188</v>
      </c>
      <c r="F1921">
        <v>5210010105</v>
      </c>
      <c r="G1921">
        <v>120</v>
      </c>
      <c r="I1921" t="s">
        <v>179</v>
      </c>
      <c r="J1921" t="s">
        <v>887</v>
      </c>
      <c r="K1921" t="s">
        <v>180</v>
      </c>
      <c r="L1921">
        <v>200008362</v>
      </c>
    </row>
    <row r="1922" spans="3:12">
      <c r="C1922">
        <v>2100300025</v>
      </c>
      <c r="D1922">
        <v>6426000</v>
      </c>
      <c r="E1922" t="s">
        <v>188</v>
      </c>
      <c r="F1922">
        <v>5210010105</v>
      </c>
      <c r="G1922" s="13">
        <v>1120</v>
      </c>
      <c r="I1922" t="s">
        <v>179</v>
      </c>
      <c r="J1922" t="s">
        <v>887</v>
      </c>
      <c r="K1922" t="s">
        <v>180</v>
      </c>
      <c r="L1922">
        <v>200008363</v>
      </c>
    </row>
    <row r="1923" spans="3:12">
      <c r="C1923">
        <v>2100300025</v>
      </c>
      <c r="D1923">
        <v>6426000</v>
      </c>
      <c r="E1923" t="s">
        <v>188</v>
      </c>
      <c r="F1923">
        <v>5210010105</v>
      </c>
      <c r="G1923" s="13">
        <v>100226</v>
      </c>
      <c r="I1923" t="s">
        <v>179</v>
      </c>
      <c r="J1923" t="s">
        <v>887</v>
      </c>
      <c r="K1923" t="s">
        <v>180</v>
      </c>
      <c r="L1923">
        <v>200009131</v>
      </c>
    </row>
    <row r="1924" spans="3:12">
      <c r="C1924">
        <v>2100300025</v>
      </c>
      <c r="D1924">
        <v>6426000</v>
      </c>
      <c r="E1924" t="s">
        <v>188</v>
      </c>
      <c r="F1924">
        <v>5210010105</v>
      </c>
      <c r="G1924" s="13">
        <v>9061</v>
      </c>
      <c r="I1924" t="s">
        <v>179</v>
      </c>
      <c r="J1924" t="s">
        <v>888</v>
      </c>
      <c r="K1924" t="s">
        <v>180</v>
      </c>
      <c r="L1924">
        <v>200010531</v>
      </c>
    </row>
    <row r="1925" spans="3:12">
      <c r="C1925">
        <v>2100300025</v>
      </c>
      <c r="D1925">
        <v>6426000</v>
      </c>
      <c r="E1925" t="s">
        <v>188</v>
      </c>
      <c r="F1925">
        <v>5210010105</v>
      </c>
      <c r="G1925" s="13">
        <v>7475</v>
      </c>
      <c r="I1925" t="s">
        <v>179</v>
      </c>
      <c r="J1925" t="s">
        <v>888</v>
      </c>
      <c r="K1925" t="s">
        <v>180</v>
      </c>
      <c r="L1925">
        <v>200011545</v>
      </c>
    </row>
    <row r="1926" spans="3:12">
      <c r="C1926">
        <v>2100300025</v>
      </c>
      <c r="D1926">
        <v>6426000</v>
      </c>
      <c r="E1926" t="s">
        <v>188</v>
      </c>
      <c r="F1926">
        <v>5210010105</v>
      </c>
      <c r="G1926" s="13">
        <v>9391.41</v>
      </c>
      <c r="I1926" t="s">
        <v>179</v>
      </c>
      <c r="J1926" t="s">
        <v>888</v>
      </c>
      <c r="K1926" t="s">
        <v>180</v>
      </c>
      <c r="L1926">
        <v>200011546</v>
      </c>
    </row>
    <row r="1927" spans="3:12">
      <c r="C1927">
        <v>2100300025</v>
      </c>
      <c r="D1927">
        <v>6426000</v>
      </c>
      <c r="E1927" t="s">
        <v>188</v>
      </c>
      <c r="F1927">
        <v>5210010105</v>
      </c>
      <c r="G1927" s="13">
        <v>11433.08</v>
      </c>
      <c r="I1927" t="s">
        <v>179</v>
      </c>
      <c r="J1927" t="s">
        <v>808</v>
      </c>
      <c r="K1927" t="s">
        <v>180</v>
      </c>
      <c r="L1927">
        <v>200007379</v>
      </c>
    </row>
    <row r="1928" spans="3:12">
      <c r="C1928">
        <v>2100300025</v>
      </c>
      <c r="D1928">
        <v>6426000</v>
      </c>
      <c r="E1928" t="s">
        <v>188</v>
      </c>
      <c r="F1928">
        <v>5210010105</v>
      </c>
      <c r="G1928">
        <v>700</v>
      </c>
      <c r="I1928" t="s">
        <v>179</v>
      </c>
      <c r="J1928" t="s">
        <v>808</v>
      </c>
      <c r="K1928" t="s">
        <v>180</v>
      </c>
      <c r="L1928">
        <v>200007606</v>
      </c>
    </row>
    <row r="1929" spans="3:12">
      <c r="C1929">
        <v>2100300025</v>
      </c>
      <c r="D1929">
        <v>6426000</v>
      </c>
      <c r="E1929" t="s">
        <v>188</v>
      </c>
      <c r="F1929">
        <v>5210010105</v>
      </c>
      <c r="G1929" s="13">
        <v>3745</v>
      </c>
      <c r="I1929" t="s">
        <v>179</v>
      </c>
      <c r="J1929" t="s">
        <v>808</v>
      </c>
      <c r="K1929" t="s">
        <v>180</v>
      </c>
      <c r="L1929">
        <v>200007381</v>
      </c>
    </row>
    <row r="1930" spans="3:12">
      <c r="C1930">
        <v>2100300025</v>
      </c>
      <c r="D1930">
        <v>6426000</v>
      </c>
      <c r="E1930" t="s">
        <v>188</v>
      </c>
      <c r="F1930">
        <v>5210010105</v>
      </c>
      <c r="G1930">
        <v>120</v>
      </c>
      <c r="I1930" t="s">
        <v>179</v>
      </c>
      <c r="J1930" t="s">
        <v>808</v>
      </c>
      <c r="K1930" t="s">
        <v>180</v>
      </c>
      <c r="L1930">
        <v>200007609</v>
      </c>
    </row>
    <row r="1931" spans="3:12">
      <c r="C1931">
        <v>2100300025</v>
      </c>
      <c r="D1931">
        <v>6426000</v>
      </c>
      <c r="E1931" t="s">
        <v>188</v>
      </c>
      <c r="F1931">
        <v>5210010105</v>
      </c>
      <c r="G1931">
        <v>984</v>
      </c>
      <c r="I1931" t="s">
        <v>179</v>
      </c>
      <c r="J1931" t="s">
        <v>808</v>
      </c>
      <c r="K1931" t="s">
        <v>180</v>
      </c>
      <c r="L1931">
        <v>200007610</v>
      </c>
    </row>
    <row r="1932" spans="3:12">
      <c r="C1932">
        <v>2100300025</v>
      </c>
      <c r="D1932">
        <v>6426000</v>
      </c>
      <c r="E1932" t="s">
        <v>188</v>
      </c>
      <c r="F1932">
        <v>5210010105</v>
      </c>
      <c r="G1932" s="13">
        <v>14183</v>
      </c>
      <c r="I1932" t="s">
        <v>179</v>
      </c>
      <c r="J1932" t="s">
        <v>808</v>
      </c>
      <c r="K1932" t="s">
        <v>180</v>
      </c>
      <c r="L1932">
        <v>200007611</v>
      </c>
    </row>
    <row r="1933" spans="3:12">
      <c r="C1933">
        <v>2100300025</v>
      </c>
      <c r="D1933">
        <v>6426000</v>
      </c>
      <c r="E1933" t="s">
        <v>188</v>
      </c>
      <c r="F1933">
        <v>5210010105</v>
      </c>
      <c r="G1933" s="13">
        <v>10200</v>
      </c>
      <c r="I1933" t="s">
        <v>179</v>
      </c>
      <c r="J1933" t="s">
        <v>808</v>
      </c>
      <c r="K1933" t="s">
        <v>180</v>
      </c>
      <c r="L1933">
        <v>200007612</v>
      </c>
    </row>
    <row r="1934" spans="3:12">
      <c r="C1934">
        <v>2100300025</v>
      </c>
      <c r="D1934">
        <v>6426000</v>
      </c>
      <c r="E1934" t="s">
        <v>188</v>
      </c>
      <c r="F1934">
        <v>5210010105</v>
      </c>
      <c r="G1934" s="13">
        <v>5100</v>
      </c>
      <c r="I1934" t="s">
        <v>179</v>
      </c>
      <c r="J1934" t="s">
        <v>808</v>
      </c>
      <c r="K1934" t="s">
        <v>180</v>
      </c>
      <c r="L1934">
        <v>200007613</v>
      </c>
    </row>
    <row r="1935" spans="3:12">
      <c r="C1935">
        <v>2100300025</v>
      </c>
      <c r="D1935">
        <v>6426000</v>
      </c>
      <c r="E1935" t="s">
        <v>188</v>
      </c>
      <c r="F1935">
        <v>5210010105</v>
      </c>
      <c r="G1935" s="13">
        <v>92045</v>
      </c>
      <c r="I1935" t="s">
        <v>179</v>
      </c>
      <c r="J1935" t="s">
        <v>808</v>
      </c>
      <c r="K1935" t="s">
        <v>180</v>
      </c>
      <c r="L1935">
        <v>200006454</v>
      </c>
    </row>
    <row r="1936" spans="3:12">
      <c r="C1936">
        <v>2100300025</v>
      </c>
      <c r="D1936">
        <v>6426000</v>
      </c>
      <c r="E1936" t="s">
        <v>188</v>
      </c>
      <c r="F1936">
        <v>5210010105</v>
      </c>
      <c r="G1936" s="13">
        <v>52450</v>
      </c>
      <c r="I1936" t="s">
        <v>179</v>
      </c>
      <c r="J1936" t="s">
        <v>889</v>
      </c>
      <c r="K1936" t="s">
        <v>180</v>
      </c>
      <c r="L1936">
        <v>200010295</v>
      </c>
    </row>
    <row r="1937" spans="3:12">
      <c r="C1937">
        <v>2100300025</v>
      </c>
      <c r="D1937">
        <v>6426000</v>
      </c>
      <c r="E1937" t="s">
        <v>188</v>
      </c>
      <c r="F1937">
        <v>5210010105</v>
      </c>
      <c r="G1937">
        <v>600</v>
      </c>
      <c r="I1937" t="s">
        <v>179</v>
      </c>
      <c r="J1937" t="s">
        <v>889</v>
      </c>
      <c r="K1937" t="s">
        <v>180</v>
      </c>
      <c r="L1937">
        <v>200010296</v>
      </c>
    </row>
    <row r="1938" spans="3:12">
      <c r="C1938">
        <v>2100300025</v>
      </c>
      <c r="D1938">
        <v>6426000</v>
      </c>
      <c r="E1938" t="s">
        <v>188</v>
      </c>
      <c r="F1938">
        <v>5210010105</v>
      </c>
      <c r="G1938" s="13">
        <v>6332</v>
      </c>
      <c r="I1938" t="s">
        <v>179</v>
      </c>
      <c r="J1938" t="s">
        <v>889</v>
      </c>
      <c r="K1938" t="s">
        <v>180</v>
      </c>
      <c r="L1938">
        <v>200010946</v>
      </c>
    </row>
    <row r="1939" spans="3:12">
      <c r="C1939">
        <v>2100300025</v>
      </c>
      <c r="D1939">
        <v>6426000</v>
      </c>
      <c r="E1939" t="s">
        <v>188</v>
      </c>
      <c r="F1939">
        <v>5210010105</v>
      </c>
      <c r="G1939" s="13">
        <v>12500</v>
      </c>
      <c r="I1939" t="s">
        <v>179</v>
      </c>
      <c r="J1939" t="s">
        <v>890</v>
      </c>
      <c r="K1939" t="s">
        <v>180</v>
      </c>
      <c r="L1939">
        <v>200009749</v>
      </c>
    </row>
    <row r="1940" spans="3:12">
      <c r="C1940">
        <v>2100300025</v>
      </c>
      <c r="D1940">
        <v>6426000</v>
      </c>
      <c r="E1940" t="s">
        <v>188</v>
      </c>
      <c r="F1940">
        <v>5210010105</v>
      </c>
      <c r="G1940" s="13">
        <v>8000</v>
      </c>
      <c r="I1940" t="s">
        <v>179</v>
      </c>
      <c r="J1940" t="s">
        <v>890</v>
      </c>
      <c r="K1940" t="s">
        <v>180</v>
      </c>
      <c r="L1940">
        <v>200010018</v>
      </c>
    </row>
    <row r="1941" spans="3:12">
      <c r="C1941">
        <v>2100300025</v>
      </c>
      <c r="D1941">
        <v>6426000</v>
      </c>
      <c r="E1941" t="s">
        <v>188</v>
      </c>
      <c r="F1941">
        <v>5210010105</v>
      </c>
      <c r="G1941" s="13">
        <v>6955</v>
      </c>
      <c r="I1941" t="s">
        <v>179</v>
      </c>
      <c r="J1941" t="s">
        <v>890</v>
      </c>
      <c r="K1941" t="s">
        <v>180</v>
      </c>
      <c r="L1941">
        <v>200009956</v>
      </c>
    </row>
    <row r="1942" spans="3:12">
      <c r="C1942">
        <v>2100300025</v>
      </c>
      <c r="D1942">
        <v>6426000</v>
      </c>
      <c r="E1942" t="s">
        <v>188</v>
      </c>
      <c r="F1942">
        <v>5210010105</v>
      </c>
      <c r="G1942" s="13">
        <v>10288</v>
      </c>
      <c r="I1942" t="s">
        <v>179</v>
      </c>
      <c r="J1942" t="s">
        <v>890</v>
      </c>
      <c r="K1942" t="s">
        <v>180</v>
      </c>
      <c r="L1942">
        <v>200008400</v>
      </c>
    </row>
    <row r="1943" spans="3:12">
      <c r="C1943">
        <v>2100300025</v>
      </c>
      <c r="D1943">
        <v>6426000</v>
      </c>
      <c r="E1943" t="s">
        <v>188</v>
      </c>
      <c r="F1943">
        <v>5210010105</v>
      </c>
      <c r="G1943" s="13">
        <v>252516</v>
      </c>
      <c r="I1943" t="s">
        <v>179</v>
      </c>
      <c r="J1943" t="s">
        <v>890</v>
      </c>
      <c r="K1943" t="s">
        <v>180</v>
      </c>
      <c r="L1943">
        <v>200009751</v>
      </c>
    </row>
    <row r="1944" spans="3:12">
      <c r="C1944">
        <v>2100300025</v>
      </c>
      <c r="D1944">
        <v>6426000</v>
      </c>
      <c r="E1944" t="s">
        <v>188</v>
      </c>
      <c r="F1944">
        <v>5210010105</v>
      </c>
      <c r="G1944" s="13">
        <v>7500</v>
      </c>
      <c r="I1944" t="s">
        <v>179</v>
      </c>
      <c r="J1944" t="s">
        <v>890</v>
      </c>
      <c r="K1944" t="s">
        <v>180</v>
      </c>
      <c r="L1944">
        <v>200010325</v>
      </c>
    </row>
    <row r="1945" spans="3:12">
      <c r="C1945">
        <v>2100300025</v>
      </c>
      <c r="D1945">
        <v>6426000</v>
      </c>
      <c r="E1945" t="s">
        <v>188</v>
      </c>
      <c r="F1945">
        <v>5210010105</v>
      </c>
      <c r="G1945" s="13">
        <v>397628</v>
      </c>
      <c r="I1945" t="s">
        <v>179</v>
      </c>
      <c r="J1945" t="s">
        <v>890</v>
      </c>
      <c r="K1945" t="s">
        <v>180</v>
      </c>
      <c r="L1945">
        <v>200010326</v>
      </c>
    </row>
    <row r="1946" spans="3:12">
      <c r="C1946">
        <v>2100300025</v>
      </c>
      <c r="D1946">
        <v>6426000</v>
      </c>
      <c r="E1946" t="s">
        <v>188</v>
      </c>
      <c r="F1946">
        <v>5210010105</v>
      </c>
      <c r="G1946" s="13">
        <v>217418.67</v>
      </c>
      <c r="I1946" t="s">
        <v>179</v>
      </c>
      <c r="J1946" t="s">
        <v>890</v>
      </c>
      <c r="K1946" t="s">
        <v>180</v>
      </c>
      <c r="L1946">
        <v>200010328</v>
      </c>
    </row>
    <row r="1947" spans="3:12">
      <c r="C1947">
        <v>2100300025</v>
      </c>
      <c r="D1947">
        <v>6426000</v>
      </c>
      <c r="E1947" t="s">
        <v>188</v>
      </c>
      <c r="F1947">
        <v>5210010105</v>
      </c>
      <c r="G1947" s="13">
        <v>12840</v>
      </c>
      <c r="I1947" t="s">
        <v>179</v>
      </c>
      <c r="J1947" t="s">
        <v>890</v>
      </c>
      <c r="K1947" t="s">
        <v>180</v>
      </c>
      <c r="L1947">
        <v>200010329</v>
      </c>
    </row>
    <row r="1948" spans="3:12">
      <c r="C1948">
        <v>2100300025</v>
      </c>
      <c r="D1948">
        <v>6426000</v>
      </c>
      <c r="E1948" t="s">
        <v>188</v>
      </c>
      <c r="F1948">
        <v>5210010105</v>
      </c>
      <c r="G1948" s="13">
        <v>10696.43</v>
      </c>
      <c r="I1948" t="s">
        <v>179</v>
      </c>
      <c r="J1948" t="s">
        <v>890</v>
      </c>
      <c r="K1948" t="s">
        <v>180</v>
      </c>
      <c r="L1948">
        <v>200010407</v>
      </c>
    </row>
    <row r="1949" spans="3:12">
      <c r="C1949">
        <v>2100300025</v>
      </c>
      <c r="D1949">
        <v>6426000</v>
      </c>
      <c r="E1949" t="s">
        <v>188</v>
      </c>
      <c r="F1949">
        <v>5210010105</v>
      </c>
      <c r="G1949" s="13">
        <v>4250</v>
      </c>
      <c r="I1949" t="s">
        <v>179</v>
      </c>
      <c r="J1949" t="s">
        <v>890</v>
      </c>
      <c r="K1949" t="s">
        <v>180</v>
      </c>
      <c r="L1949">
        <v>200008696</v>
      </c>
    </row>
    <row r="1950" spans="3:12">
      <c r="C1950">
        <v>2100300025</v>
      </c>
      <c r="D1950">
        <v>6426000</v>
      </c>
      <c r="E1950" t="s">
        <v>188</v>
      </c>
      <c r="F1950">
        <v>5210010105</v>
      </c>
      <c r="G1950" s="13">
        <v>1444.5</v>
      </c>
      <c r="I1950" t="s">
        <v>179</v>
      </c>
      <c r="J1950" t="s">
        <v>890</v>
      </c>
      <c r="K1950" t="s">
        <v>180</v>
      </c>
      <c r="L1950">
        <v>200010332</v>
      </c>
    </row>
    <row r="1951" spans="3:12">
      <c r="C1951">
        <v>2100300025</v>
      </c>
      <c r="D1951">
        <v>6426000</v>
      </c>
      <c r="E1951" t="s">
        <v>188</v>
      </c>
      <c r="F1951">
        <v>5210010105</v>
      </c>
      <c r="G1951">
        <v>400</v>
      </c>
      <c r="I1951" t="s">
        <v>179</v>
      </c>
      <c r="J1951" t="s">
        <v>890</v>
      </c>
      <c r="K1951" t="s">
        <v>180</v>
      </c>
      <c r="L1951">
        <v>200010408</v>
      </c>
    </row>
    <row r="1952" spans="3:12">
      <c r="C1952">
        <v>2100300025</v>
      </c>
      <c r="D1952">
        <v>6426000</v>
      </c>
      <c r="E1952" t="s">
        <v>188</v>
      </c>
      <c r="F1952">
        <v>5210010105</v>
      </c>
      <c r="G1952">
        <v>500</v>
      </c>
      <c r="I1952" t="s">
        <v>179</v>
      </c>
      <c r="J1952" t="s">
        <v>890</v>
      </c>
      <c r="K1952" t="s">
        <v>180</v>
      </c>
      <c r="L1952">
        <v>200010258</v>
      </c>
    </row>
    <row r="1953" spans="3:12">
      <c r="C1953">
        <v>2100300025</v>
      </c>
      <c r="D1953">
        <v>6426000</v>
      </c>
      <c r="E1953" t="s">
        <v>188</v>
      </c>
      <c r="F1953">
        <v>5210010105</v>
      </c>
      <c r="G1953">
        <v>905</v>
      </c>
      <c r="I1953" t="s">
        <v>179</v>
      </c>
      <c r="J1953" t="s">
        <v>890</v>
      </c>
      <c r="K1953" t="s">
        <v>180</v>
      </c>
      <c r="L1953">
        <v>200010333</v>
      </c>
    </row>
    <row r="1954" spans="3:12">
      <c r="C1954">
        <v>2100300025</v>
      </c>
      <c r="D1954">
        <v>6426000</v>
      </c>
      <c r="E1954" t="s">
        <v>188</v>
      </c>
      <c r="F1954">
        <v>5210010105</v>
      </c>
      <c r="G1954">
        <v>541.79999999999995</v>
      </c>
      <c r="I1954" t="s">
        <v>179</v>
      </c>
      <c r="J1954" t="s">
        <v>890</v>
      </c>
      <c r="K1954" t="s">
        <v>180</v>
      </c>
      <c r="L1954">
        <v>200010337</v>
      </c>
    </row>
    <row r="1955" spans="3:12">
      <c r="C1955">
        <v>2100300025</v>
      </c>
      <c r="D1955">
        <v>6426000</v>
      </c>
      <c r="E1955" t="s">
        <v>188</v>
      </c>
      <c r="F1955">
        <v>5210010105</v>
      </c>
      <c r="G1955" s="13">
        <v>2000</v>
      </c>
      <c r="I1955" t="s">
        <v>179</v>
      </c>
      <c r="J1955" t="s">
        <v>890</v>
      </c>
      <c r="K1955" t="s">
        <v>180</v>
      </c>
      <c r="L1955">
        <v>200010261</v>
      </c>
    </row>
    <row r="1956" spans="3:12">
      <c r="C1956">
        <v>2100300025</v>
      </c>
      <c r="D1956">
        <v>6426000</v>
      </c>
      <c r="E1956" t="s">
        <v>188</v>
      </c>
      <c r="F1956">
        <v>5210010105</v>
      </c>
      <c r="G1956" s="13">
        <v>1275312</v>
      </c>
      <c r="I1956" t="s">
        <v>179</v>
      </c>
      <c r="J1956" t="s">
        <v>890</v>
      </c>
      <c r="K1956" t="s">
        <v>180</v>
      </c>
      <c r="L1956">
        <v>200010339</v>
      </c>
    </row>
    <row r="1957" spans="3:12">
      <c r="C1957">
        <v>2100300025</v>
      </c>
      <c r="D1957">
        <v>6426000</v>
      </c>
      <c r="E1957" t="s">
        <v>188</v>
      </c>
      <c r="F1957">
        <v>5210010105</v>
      </c>
      <c r="G1957" s="13">
        <v>24289</v>
      </c>
      <c r="I1957" t="s">
        <v>179</v>
      </c>
      <c r="J1957" t="s">
        <v>890</v>
      </c>
      <c r="K1957" t="s">
        <v>180</v>
      </c>
      <c r="L1957">
        <v>200010340</v>
      </c>
    </row>
    <row r="1958" spans="3:12">
      <c r="C1958">
        <v>2100300025</v>
      </c>
      <c r="D1958">
        <v>6426000</v>
      </c>
      <c r="E1958" t="s">
        <v>188</v>
      </c>
      <c r="F1958">
        <v>5210010105</v>
      </c>
      <c r="G1958" s="13">
        <v>17188.2</v>
      </c>
      <c r="I1958" t="s">
        <v>179</v>
      </c>
      <c r="J1958" t="s">
        <v>890</v>
      </c>
      <c r="K1958" t="s">
        <v>180</v>
      </c>
      <c r="L1958">
        <v>200010341</v>
      </c>
    </row>
    <row r="1959" spans="3:12">
      <c r="C1959">
        <v>2100300025</v>
      </c>
      <c r="D1959">
        <v>6426000</v>
      </c>
      <c r="E1959" t="s">
        <v>188</v>
      </c>
      <c r="F1959">
        <v>5210010105</v>
      </c>
      <c r="G1959" s="13">
        <v>1139730</v>
      </c>
      <c r="I1959" t="s">
        <v>179</v>
      </c>
      <c r="J1959" t="s">
        <v>890</v>
      </c>
      <c r="K1959" t="s">
        <v>180</v>
      </c>
      <c r="L1959">
        <v>200010342</v>
      </c>
    </row>
    <row r="1960" spans="3:12">
      <c r="C1960">
        <v>2100300025</v>
      </c>
      <c r="D1960">
        <v>6426000</v>
      </c>
      <c r="E1960" t="s">
        <v>188</v>
      </c>
      <c r="F1960">
        <v>5210010105</v>
      </c>
      <c r="G1960" s="13">
        <v>1284</v>
      </c>
      <c r="I1960" t="s">
        <v>179</v>
      </c>
      <c r="J1960" t="s">
        <v>811</v>
      </c>
      <c r="K1960" t="s">
        <v>180</v>
      </c>
      <c r="L1960">
        <v>200013239</v>
      </c>
    </row>
    <row r="1961" spans="3:12">
      <c r="C1961">
        <v>2100300025</v>
      </c>
      <c r="D1961">
        <v>6426000</v>
      </c>
      <c r="E1961" t="s">
        <v>188</v>
      </c>
      <c r="F1961">
        <v>5210010105</v>
      </c>
      <c r="G1961" s="13">
        <v>1190</v>
      </c>
      <c r="I1961" t="s">
        <v>179</v>
      </c>
      <c r="J1961" t="s">
        <v>891</v>
      </c>
      <c r="K1961" t="s">
        <v>180</v>
      </c>
      <c r="L1961">
        <v>200010567</v>
      </c>
    </row>
    <row r="1962" spans="3:12">
      <c r="C1962">
        <v>2100300025</v>
      </c>
      <c r="D1962">
        <v>6426000</v>
      </c>
      <c r="E1962" t="s">
        <v>188</v>
      </c>
      <c r="F1962">
        <v>5210010105</v>
      </c>
      <c r="G1962">
        <v>240</v>
      </c>
      <c r="I1962" t="s">
        <v>179</v>
      </c>
      <c r="J1962" t="s">
        <v>891</v>
      </c>
      <c r="K1962" t="s">
        <v>180</v>
      </c>
      <c r="L1962">
        <v>200010568</v>
      </c>
    </row>
    <row r="1963" spans="3:12">
      <c r="C1963">
        <v>2100300025</v>
      </c>
      <c r="D1963">
        <v>6426000</v>
      </c>
      <c r="E1963" t="s">
        <v>188</v>
      </c>
      <c r="F1963">
        <v>5210010105</v>
      </c>
      <c r="G1963">
        <v>525</v>
      </c>
      <c r="I1963" t="s">
        <v>179</v>
      </c>
      <c r="J1963" t="s">
        <v>891</v>
      </c>
      <c r="K1963" t="s">
        <v>180</v>
      </c>
      <c r="L1963">
        <v>200010569</v>
      </c>
    </row>
    <row r="1964" spans="3:12">
      <c r="C1964">
        <v>2100300025</v>
      </c>
      <c r="D1964">
        <v>6426000</v>
      </c>
      <c r="E1964" t="s">
        <v>188</v>
      </c>
      <c r="F1964">
        <v>5210010105</v>
      </c>
      <c r="G1964" s="13">
        <v>1850</v>
      </c>
      <c r="I1964" t="s">
        <v>179</v>
      </c>
      <c r="J1964" t="s">
        <v>891</v>
      </c>
      <c r="K1964" t="s">
        <v>180</v>
      </c>
      <c r="L1964">
        <v>200012629</v>
      </c>
    </row>
    <row r="1965" spans="3:12">
      <c r="C1965">
        <v>2100300025</v>
      </c>
      <c r="D1965">
        <v>6426000</v>
      </c>
      <c r="E1965" t="s">
        <v>188</v>
      </c>
      <c r="F1965">
        <v>5210010105</v>
      </c>
      <c r="G1965">
        <v>800</v>
      </c>
      <c r="I1965" t="s">
        <v>179</v>
      </c>
      <c r="J1965" t="s">
        <v>891</v>
      </c>
      <c r="K1965" t="s">
        <v>180</v>
      </c>
      <c r="L1965">
        <v>200012630</v>
      </c>
    </row>
    <row r="1966" spans="3:12">
      <c r="C1966">
        <v>2100300025</v>
      </c>
      <c r="D1966">
        <v>6426000</v>
      </c>
      <c r="E1966" t="s">
        <v>188</v>
      </c>
      <c r="F1966">
        <v>5210010105</v>
      </c>
      <c r="G1966" s="13">
        <v>-3800</v>
      </c>
      <c r="I1966" t="s">
        <v>179</v>
      </c>
      <c r="J1966" t="s">
        <v>814</v>
      </c>
      <c r="K1966" t="s">
        <v>180</v>
      </c>
      <c r="L1966">
        <v>200002335</v>
      </c>
    </row>
    <row r="1967" spans="3:12">
      <c r="C1967">
        <v>2100300025</v>
      </c>
      <c r="D1967">
        <v>6426000</v>
      </c>
      <c r="E1967" t="s">
        <v>188</v>
      </c>
      <c r="F1967">
        <v>5210010105</v>
      </c>
      <c r="G1967" s="13">
        <v>2850</v>
      </c>
      <c r="I1967" t="s">
        <v>179</v>
      </c>
      <c r="J1967" t="s">
        <v>892</v>
      </c>
      <c r="K1967" t="s">
        <v>180</v>
      </c>
      <c r="L1967">
        <v>200015027</v>
      </c>
    </row>
    <row r="1968" spans="3:12">
      <c r="C1968">
        <v>2100300025</v>
      </c>
      <c r="D1968">
        <v>6426000</v>
      </c>
      <c r="E1968" t="s">
        <v>188</v>
      </c>
      <c r="F1968">
        <v>5210010105</v>
      </c>
      <c r="G1968">
        <v>490</v>
      </c>
      <c r="I1968" t="s">
        <v>179</v>
      </c>
      <c r="J1968" t="s">
        <v>892</v>
      </c>
      <c r="K1968" t="s">
        <v>180</v>
      </c>
      <c r="L1968">
        <v>200014789</v>
      </c>
    </row>
    <row r="1969" spans="3:12">
      <c r="C1969">
        <v>2100300025</v>
      </c>
      <c r="D1969">
        <v>6426000</v>
      </c>
      <c r="E1969" t="s">
        <v>188</v>
      </c>
      <c r="F1969">
        <v>5210010105</v>
      </c>
      <c r="G1969" s="13">
        <v>1990</v>
      </c>
      <c r="I1969" t="s">
        <v>179</v>
      </c>
      <c r="J1969" t="s">
        <v>892</v>
      </c>
      <c r="K1969" t="s">
        <v>180</v>
      </c>
      <c r="L1969">
        <v>200015223</v>
      </c>
    </row>
    <row r="1970" spans="3:12">
      <c r="C1970">
        <v>2100300025</v>
      </c>
      <c r="D1970">
        <v>6426000</v>
      </c>
      <c r="E1970" t="s">
        <v>188</v>
      </c>
      <c r="F1970">
        <v>5210010105</v>
      </c>
      <c r="G1970">
        <v>366</v>
      </c>
      <c r="I1970" t="s">
        <v>179</v>
      </c>
      <c r="J1970" t="s">
        <v>892</v>
      </c>
      <c r="K1970" t="s">
        <v>180</v>
      </c>
      <c r="L1970">
        <v>200015224</v>
      </c>
    </row>
    <row r="1971" spans="3:12">
      <c r="C1971">
        <v>2100300025</v>
      </c>
      <c r="D1971">
        <v>6426000</v>
      </c>
      <c r="E1971" t="s">
        <v>188</v>
      </c>
      <c r="F1971">
        <v>5210010105</v>
      </c>
      <c r="G1971" s="13">
        <v>4210</v>
      </c>
      <c r="I1971" t="s">
        <v>179</v>
      </c>
      <c r="J1971" t="s">
        <v>892</v>
      </c>
      <c r="K1971" t="s">
        <v>180</v>
      </c>
      <c r="L1971">
        <v>200015031</v>
      </c>
    </row>
    <row r="1972" spans="3:12">
      <c r="C1972">
        <v>2100300025</v>
      </c>
      <c r="D1972">
        <v>6426000</v>
      </c>
      <c r="E1972" t="s">
        <v>188</v>
      </c>
      <c r="F1972">
        <v>5210010105</v>
      </c>
      <c r="G1972" s="13">
        <v>8003.15</v>
      </c>
      <c r="I1972" t="s">
        <v>179</v>
      </c>
      <c r="J1972" t="s">
        <v>892</v>
      </c>
      <c r="K1972" t="s">
        <v>180</v>
      </c>
      <c r="L1972">
        <v>200015229</v>
      </c>
    </row>
    <row r="1973" spans="3:12">
      <c r="C1973">
        <v>2100300025</v>
      </c>
      <c r="D1973">
        <v>6426000</v>
      </c>
      <c r="E1973" t="s">
        <v>188</v>
      </c>
      <c r="F1973">
        <v>5210010105</v>
      </c>
      <c r="G1973" s="13">
        <v>12600</v>
      </c>
      <c r="I1973" t="s">
        <v>179</v>
      </c>
      <c r="J1973" t="s">
        <v>892</v>
      </c>
      <c r="K1973" t="s">
        <v>180</v>
      </c>
      <c r="L1973">
        <v>200015306</v>
      </c>
    </row>
    <row r="1974" spans="3:12">
      <c r="C1974">
        <v>2100300025</v>
      </c>
      <c r="D1974">
        <v>6426000</v>
      </c>
      <c r="E1974" t="s">
        <v>188</v>
      </c>
      <c r="F1974">
        <v>5210010105</v>
      </c>
      <c r="G1974" s="13">
        <v>6475</v>
      </c>
      <c r="I1974" t="s">
        <v>179</v>
      </c>
      <c r="J1974" t="s">
        <v>892</v>
      </c>
      <c r="K1974" t="s">
        <v>180</v>
      </c>
      <c r="L1974">
        <v>200015307</v>
      </c>
    </row>
    <row r="1975" spans="3:12">
      <c r="C1975">
        <v>2100300025</v>
      </c>
      <c r="D1975">
        <v>6426000</v>
      </c>
      <c r="E1975" t="s">
        <v>188</v>
      </c>
      <c r="F1975">
        <v>5210010105</v>
      </c>
      <c r="G1975" s="13">
        <v>4415</v>
      </c>
      <c r="I1975" t="s">
        <v>179</v>
      </c>
      <c r="J1975" t="s">
        <v>893</v>
      </c>
      <c r="K1975" t="s">
        <v>180</v>
      </c>
      <c r="L1975">
        <v>200020786</v>
      </c>
    </row>
    <row r="1976" spans="3:12">
      <c r="C1976">
        <v>2100300025</v>
      </c>
      <c r="D1976">
        <v>6426000</v>
      </c>
      <c r="E1976" t="s">
        <v>188</v>
      </c>
      <c r="F1976">
        <v>5210010105</v>
      </c>
      <c r="G1976" s="13">
        <v>25145</v>
      </c>
      <c r="I1976" t="s">
        <v>179</v>
      </c>
      <c r="J1976" t="s">
        <v>893</v>
      </c>
      <c r="K1976" t="s">
        <v>180</v>
      </c>
      <c r="L1976">
        <v>200021508</v>
      </c>
    </row>
    <row r="1977" spans="3:12">
      <c r="C1977">
        <v>2100300025</v>
      </c>
      <c r="D1977">
        <v>6426000</v>
      </c>
      <c r="E1977" t="s">
        <v>188</v>
      </c>
      <c r="F1977">
        <v>5210010105</v>
      </c>
      <c r="G1977">
        <v>240</v>
      </c>
      <c r="I1977" t="s">
        <v>179</v>
      </c>
      <c r="J1977" t="s">
        <v>893</v>
      </c>
      <c r="K1977" t="s">
        <v>180</v>
      </c>
      <c r="L1977">
        <v>200021509</v>
      </c>
    </row>
    <row r="1978" spans="3:12">
      <c r="C1978">
        <v>2100300025</v>
      </c>
      <c r="D1978">
        <v>6426000</v>
      </c>
      <c r="E1978" t="s">
        <v>188</v>
      </c>
      <c r="F1978">
        <v>5210010105</v>
      </c>
      <c r="G1978" s="13">
        <v>13015</v>
      </c>
      <c r="I1978" t="s">
        <v>179</v>
      </c>
      <c r="J1978" t="s">
        <v>893</v>
      </c>
      <c r="K1978" t="s">
        <v>180</v>
      </c>
      <c r="L1978">
        <v>200021511</v>
      </c>
    </row>
    <row r="1979" spans="3:12">
      <c r="C1979">
        <v>2100300025</v>
      </c>
      <c r="D1979">
        <v>6426000</v>
      </c>
      <c r="E1979" t="s">
        <v>188</v>
      </c>
      <c r="F1979">
        <v>5210010105</v>
      </c>
      <c r="G1979" s="13">
        <v>30765</v>
      </c>
      <c r="I1979" t="s">
        <v>179</v>
      </c>
      <c r="J1979" t="s">
        <v>871</v>
      </c>
      <c r="K1979" t="s">
        <v>180</v>
      </c>
      <c r="L1979">
        <v>200024230</v>
      </c>
    </row>
    <row r="1980" spans="3:12">
      <c r="C1980">
        <v>2100300025</v>
      </c>
      <c r="D1980">
        <v>6426000</v>
      </c>
      <c r="E1980" t="s">
        <v>188</v>
      </c>
      <c r="F1980">
        <v>5210010105</v>
      </c>
      <c r="G1980">
        <v>240</v>
      </c>
      <c r="I1980" t="s">
        <v>179</v>
      </c>
      <c r="J1980" t="s">
        <v>871</v>
      </c>
      <c r="K1980" t="s">
        <v>180</v>
      </c>
      <c r="L1980">
        <v>200024231</v>
      </c>
    </row>
    <row r="1981" spans="3:12">
      <c r="C1981">
        <v>2100300025</v>
      </c>
      <c r="D1981">
        <v>6426000</v>
      </c>
      <c r="E1981" t="s">
        <v>188</v>
      </c>
      <c r="F1981">
        <v>5210010105</v>
      </c>
      <c r="G1981" s="13">
        <v>6800</v>
      </c>
      <c r="I1981" t="s">
        <v>179</v>
      </c>
      <c r="J1981" t="s">
        <v>871</v>
      </c>
      <c r="K1981" t="s">
        <v>180</v>
      </c>
      <c r="L1981">
        <v>200024232</v>
      </c>
    </row>
    <row r="1982" spans="3:12">
      <c r="C1982">
        <v>2100300025</v>
      </c>
      <c r="D1982">
        <v>6426000</v>
      </c>
      <c r="E1982" t="s">
        <v>188</v>
      </c>
      <c r="F1982">
        <v>5210010105</v>
      </c>
      <c r="G1982" s="13">
        <v>5000</v>
      </c>
      <c r="I1982" t="s">
        <v>179</v>
      </c>
      <c r="J1982" t="s">
        <v>871</v>
      </c>
      <c r="K1982" t="s">
        <v>180</v>
      </c>
      <c r="L1982">
        <v>200023389</v>
      </c>
    </row>
    <row r="1983" spans="3:12">
      <c r="C1983">
        <v>2100300025</v>
      </c>
      <c r="D1983">
        <v>6426000</v>
      </c>
      <c r="E1983" t="s">
        <v>188</v>
      </c>
      <c r="F1983">
        <v>5210010105</v>
      </c>
      <c r="G1983" s="13">
        <v>10900</v>
      </c>
      <c r="I1983" t="s">
        <v>179</v>
      </c>
      <c r="J1983" t="s">
        <v>871</v>
      </c>
      <c r="K1983" t="s">
        <v>180</v>
      </c>
      <c r="L1983">
        <v>200020892</v>
      </c>
    </row>
    <row r="1984" spans="3:12">
      <c r="C1984">
        <v>2100300025</v>
      </c>
      <c r="D1984">
        <v>6426000</v>
      </c>
      <c r="E1984" t="s">
        <v>188</v>
      </c>
      <c r="F1984">
        <v>5210010105</v>
      </c>
      <c r="G1984" s="13">
        <v>64287.72</v>
      </c>
      <c r="I1984" t="s">
        <v>179</v>
      </c>
      <c r="J1984" t="s">
        <v>871</v>
      </c>
      <c r="K1984" t="s">
        <v>180</v>
      </c>
      <c r="L1984">
        <v>200020893</v>
      </c>
    </row>
    <row r="1985" spans="3:12">
      <c r="C1985">
        <v>2100300025</v>
      </c>
      <c r="D1985">
        <v>6426000</v>
      </c>
      <c r="E1985" t="s">
        <v>188</v>
      </c>
      <c r="F1985">
        <v>5210010105</v>
      </c>
      <c r="G1985" s="13">
        <v>34000</v>
      </c>
      <c r="I1985" t="s">
        <v>179</v>
      </c>
      <c r="J1985" t="s">
        <v>871</v>
      </c>
      <c r="K1985" t="s">
        <v>180</v>
      </c>
      <c r="L1985">
        <v>200020894</v>
      </c>
    </row>
    <row r="1986" spans="3:12">
      <c r="C1986">
        <v>2100300025</v>
      </c>
      <c r="D1986">
        <v>6426000</v>
      </c>
      <c r="E1986" t="s">
        <v>188</v>
      </c>
      <c r="F1986">
        <v>5210010105</v>
      </c>
      <c r="G1986" s="13">
        <v>177500</v>
      </c>
      <c r="I1986" t="s">
        <v>179</v>
      </c>
      <c r="J1986" t="s">
        <v>871</v>
      </c>
      <c r="K1986" t="s">
        <v>180</v>
      </c>
      <c r="L1986">
        <v>200024220</v>
      </c>
    </row>
    <row r="1987" spans="3:12">
      <c r="C1987">
        <v>2100300025</v>
      </c>
      <c r="D1987">
        <v>6426000</v>
      </c>
      <c r="E1987" t="s">
        <v>188</v>
      </c>
      <c r="F1987">
        <v>5210010105</v>
      </c>
      <c r="G1987">
        <v>340</v>
      </c>
      <c r="I1987" t="s">
        <v>179</v>
      </c>
      <c r="J1987" t="s">
        <v>871</v>
      </c>
      <c r="K1987" t="s">
        <v>180</v>
      </c>
      <c r="L1987">
        <v>200024221</v>
      </c>
    </row>
    <row r="1988" spans="3:12">
      <c r="C1988">
        <v>2100300025</v>
      </c>
      <c r="D1988">
        <v>6426000</v>
      </c>
      <c r="E1988" t="s">
        <v>188</v>
      </c>
      <c r="F1988">
        <v>5210010105</v>
      </c>
      <c r="G1988" s="13">
        <v>1600</v>
      </c>
      <c r="I1988" t="s">
        <v>179</v>
      </c>
      <c r="J1988" t="s">
        <v>871</v>
      </c>
      <c r="K1988" t="s">
        <v>180</v>
      </c>
      <c r="L1988">
        <v>200020895</v>
      </c>
    </row>
    <row r="1989" spans="3:12">
      <c r="C1989">
        <v>2100300025</v>
      </c>
      <c r="D1989">
        <v>6426000</v>
      </c>
      <c r="E1989" t="s">
        <v>188</v>
      </c>
      <c r="F1989">
        <v>5210010105</v>
      </c>
      <c r="G1989" s="13">
        <v>3510</v>
      </c>
      <c r="I1989" t="s">
        <v>179</v>
      </c>
      <c r="J1989" t="s">
        <v>871</v>
      </c>
      <c r="K1989" t="s">
        <v>180</v>
      </c>
      <c r="L1989">
        <v>200024222</v>
      </c>
    </row>
    <row r="1990" spans="3:12">
      <c r="C1990">
        <v>2100300025</v>
      </c>
      <c r="D1990">
        <v>6426000</v>
      </c>
      <c r="E1990" t="s">
        <v>188</v>
      </c>
      <c r="F1990">
        <v>5210010105</v>
      </c>
      <c r="G1990" s="13">
        <v>108830</v>
      </c>
      <c r="I1990" t="s">
        <v>179</v>
      </c>
      <c r="J1990" t="s">
        <v>871</v>
      </c>
      <c r="K1990" t="s">
        <v>180</v>
      </c>
      <c r="L1990">
        <v>200024311</v>
      </c>
    </row>
    <row r="1991" spans="3:12">
      <c r="C1991">
        <v>2100300025</v>
      </c>
      <c r="D1991">
        <v>6426000</v>
      </c>
      <c r="E1991" t="s">
        <v>188</v>
      </c>
      <c r="F1991">
        <v>5210010105</v>
      </c>
      <c r="G1991" s="13">
        <v>2000</v>
      </c>
      <c r="I1991" t="s">
        <v>179</v>
      </c>
      <c r="J1991" t="s">
        <v>871</v>
      </c>
      <c r="K1991" t="s">
        <v>180</v>
      </c>
      <c r="L1991">
        <v>200024313</v>
      </c>
    </row>
    <row r="1992" spans="3:12">
      <c r="C1992">
        <v>2100300025</v>
      </c>
      <c r="D1992">
        <v>6426000</v>
      </c>
      <c r="E1992" t="s">
        <v>188</v>
      </c>
      <c r="F1992">
        <v>5210010105</v>
      </c>
      <c r="G1992" s="13">
        <v>26910.5</v>
      </c>
      <c r="I1992" t="s">
        <v>179</v>
      </c>
      <c r="J1992" t="s">
        <v>871</v>
      </c>
      <c r="K1992" t="s">
        <v>180</v>
      </c>
      <c r="L1992">
        <v>200024314</v>
      </c>
    </row>
    <row r="1993" spans="3:12">
      <c r="C1993">
        <v>2100300025</v>
      </c>
      <c r="D1993">
        <v>6426000</v>
      </c>
      <c r="E1993" t="s">
        <v>188</v>
      </c>
      <c r="F1993">
        <v>5210010105</v>
      </c>
      <c r="G1993" s="13">
        <v>2020</v>
      </c>
      <c r="I1993" t="s">
        <v>179</v>
      </c>
      <c r="J1993" t="s">
        <v>871</v>
      </c>
      <c r="K1993" t="s">
        <v>180</v>
      </c>
      <c r="L1993">
        <v>200024315</v>
      </c>
    </row>
    <row r="1994" spans="3:12">
      <c r="C1994">
        <v>2100300025</v>
      </c>
      <c r="D1994">
        <v>6426000</v>
      </c>
      <c r="E1994" t="s">
        <v>188</v>
      </c>
      <c r="F1994">
        <v>5210010105</v>
      </c>
      <c r="G1994" s="13">
        <v>1285660</v>
      </c>
      <c r="I1994" t="s">
        <v>179</v>
      </c>
      <c r="J1994" t="s">
        <v>894</v>
      </c>
      <c r="K1994" t="s">
        <v>180</v>
      </c>
      <c r="L1994">
        <v>200020652</v>
      </c>
    </row>
    <row r="1995" spans="3:12">
      <c r="C1995">
        <v>2100300025</v>
      </c>
      <c r="D1995">
        <v>6426000</v>
      </c>
      <c r="E1995" t="s">
        <v>188</v>
      </c>
      <c r="F1995">
        <v>5210010105</v>
      </c>
      <c r="G1995" s="13">
        <v>24474</v>
      </c>
      <c r="I1995" t="s">
        <v>179</v>
      </c>
      <c r="J1995" t="s">
        <v>894</v>
      </c>
      <c r="K1995" t="s">
        <v>180</v>
      </c>
      <c r="L1995">
        <v>200020653</v>
      </c>
    </row>
    <row r="1996" spans="3:12">
      <c r="C1996">
        <v>2100300025</v>
      </c>
      <c r="D1996">
        <v>6426000</v>
      </c>
      <c r="E1996" t="s">
        <v>188</v>
      </c>
      <c r="F1996">
        <v>5210010105</v>
      </c>
      <c r="G1996" s="13">
        <v>17188.2</v>
      </c>
      <c r="I1996" t="s">
        <v>179</v>
      </c>
      <c r="J1996" t="s">
        <v>894</v>
      </c>
      <c r="K1996" t="s">
        <v>180</v>
      </c>
      <c r="L1996">
        <v>200020654</v>
      </c>
    </row>
    <row r="1997" spans="3:12">
      <c r="C1997">
        <v>2100300025</v>
      </c>
      <c r="D1997">
        <v>6426000</v>
      </c>
      <c r="E1997" t="s">
        <v>188</v>
      </c>
      <c r="F1997">
        <v>5210010105</v>
      </c>
      <c r="G1997" s="13">
        <v>1800</v>
      </c>
      <c r="I1997" t="s">
        <v>179</v>
      </c>
      <c r="J1997" t="s">
        <v>894</v>
      </c>
      <c r="K1997" t="s">
        <v>180</v>
      </c>
      <c r="L1997">
        <v>200020655</v>
      </c>
    </row>
    <row r="1998" spans="3:12">
      <c r="C1998">
        <v>2100300025</v>
      </c>
      <c r="D1998">
        <v>6426000</v>
      </c>
      <c r="E1998" t="s">
        <v>188</v>
      </c>
      <c r="F1998">
        <v>5210010105</v>
      </c>
      <c r="G1998" s="13">
        <v>7205</v>
      </c>
      <c r="I1998" t="s">
        <v>179</v>
      </c>
      <c r="J1998" t="s">
        <v>894</v>
      </c>
      <c r="K1998" t="s">
        <v>180</v>
      </c>
      <c r="L1998">
        <v>200020656</v>
      </c>
    </row>
    <row r="1999" spans="3:12">
      <c r="C1999">
        <v>2100300025</v>
      </c>
      <c r="D1999">
        <v>6426000</v>
      </c>
      <c r="E1999" t="s">
        <v>188</v>
      </c>
      <c r="F1999">
        <v>5210010105</v>
      </c>
      <c r="G1999" s="13">
        <v>25588</v>
      </c>
      <c r="I1999" t="s">
        <v>179</v>
      </c>
      <c r="J1999" t="s">
        <v>895</v>
      </c>
      <c r="K1999" t="s">
        <v>180</v>
      </c>
      <c r="L1999">
        <v>200020878</v>
      </c>
    </row>
    <row r="2000" spans="3:12">
      <c r="C2000">
        <v>2100300025</v>
      </c>
      <c r="D2000">
        <v>6426000</v>
      </c>
      <c r="E2000" t="s">
        <v>188</v>
      </c>
      <c r="F2000">
        <v>5210010105</v>
      </c>
      <c r="G2000" s="13">
        <v>49080</v>
      </c>
      <c r="I2000" t="s">
        <v>179</v>
      </c>
      <c r="J2000" t="s">
        <v>895</v>
      </c>
      <c r="K2000" t="s">
        <v>180</v>
      </c>
      <c r="L2000">
        <v>200023828</v>
      </c>
    </row>
    <row r="2001" spans="3:12">
      <c r="C2001">
        <v>2100300025</v>
      </c>
      <c r="D2001">
        <v>6426000</v>
      </c>
      <c r="E2001" t="s">
        <v>188</v>
      </c>
      <c r="F2001">
        <v>5210010105</v>
      </c>
      <c r="G2001" s="13">
        <v>9727.77</v>
      </c>
      <c r="I2001" t="s">
        <v>179</v>
      </c>
      <c r="J2001" t="s">
        <v>896</v>
      </c>
      <c r="K2001" t="s">
        <v>180</v>
      </c>
      <c r="L2001">
        <v>200020339</v>
      </c>
    </row>
    <row r="2002" spans="3:12">
      <c r="C2002">
        <v>2100300025</v>
      </c>
      <c r="D2002">
        <v>6426000</v>
      </c>
      <c r="E2002" t="s">
        <v>188</v>
      </c>
      <c r="F2002">
        <v>5210010105</v>
      </c>
      <c r="G2002" s="13">
        <v>3800</v>
      </c>
      <c r="I2002" t="s">
        <v>179</v>
      </c>
      <c r="J2002" t="s">
        <v>814</v>
      </c>
      <c r="K2002" t="s">
        <v>180</v>
      </c>
      <c r="L2002">
        <v>200016310</v>
      </c>
    </row>
    <row r="2003" spans="3:12">
      <c r="C2003">
        <v>2100300025</v>
      </c>
      <c r="D2003">
        <v>6426000</v>
      </c>
      <c r="E2003" t="s">
        <v>188</v>
      </c>
      <c r="F2003">
        <v>5210010105</v>
      </c>
      <c r="G2003" s="13">
        <v>2300</v>
      </c>
      <c r="I2003" t="s">
        <v>179</v>
      </c>
      <c r="J2003" t="s">
        <v>814</v>
      </c>
      <c r="K2003" t="s">
        <v>180</v>
      </c>
      <c r="L2003">
        <v>200016312</v>
      </c>
    </row>
    <row r="2004" spans="3:12">
      <c r="C2004">
        <v>2100300025</v>
      </c>
      <c r="D2004">
        <v>6426000</v>
      </c>
      <c r="E2004" t="s">
        <v>188</v>
      </c>
      <c r="F2004">
        <v>5210010105</v>
      </c>
      <c r="G2004" s="13">
        <v>2783</v>
      </c>
      <c r="I2004" t="s">
        <v>179</v>
      </c>
      <c r="J2004" t="s">
        <v>814</v>
      </c>
      <c r="K2004" t="s">
        <v>180</v>
      </c>
      <c r="L2004">
        <v>200015754</v>
      </c>
    </row>
    <row r="2005" spans="3:12">
      <c r="C2005">
        <v>2100300025</v>
      </c>
      <c r="D2005">
        <v>6426000</v>
      </c>
      <c r="E2005" t="s">
        <v>188</v>
      </c>
      <c r="F2005">
        <v>5210010105</v>
      </c>
      <c r="G2005" s="13">
        <v>1210</v>
      </c>
      <c r="I2005" t="s">
        <v>179</v>
      </c>
      <c r="J2005" t="s">
        <v>814</v>
      </c>
      <c r="K2005" t="s">
        <v>180</v>
      </c>
      <c r="L2005">
        <v>200016313</v>
      </c>
    </row>
    <row r="2006" spans="3:12">
      <c r="C2006">
        <v>2100300025</v>
      </c>
      <c r="D2006">
        <v>6426000</v>
      </c>
      <c r="E2006" t="s">
        <v>188</v>
      </c>
      <c r="F2006">
        <v>5210010105</v>
      </c>
      <c r="G2006" s="13">
        <v>1840</v>
      </c>
      <c r="I2006" t="s">
        <v>179</v>
      </c>
      <c r="J2006" t="s">
        <v>814</v>
      </c>
      <c r="K2006" t="s">
        <v>180</v>
      </c>
      <c r="L2006">
        <v>200015755</v>
      </c>
    </row>
    <row r="2007" spans="3:12">
      <c r="C2007">
        <v>2100300025</v>
      </c>
      <c r="D2007">
        <v>6426000</v>
      </c>
      <c r="E2007" t="s">
        <v>188</v>
      </c>
      <c r="F2007">
        <v>5210010105</v>
      </c>
      <c r="G2007" s="13">
        <v>1670</v>
      </c>
      <c r="I2007" t="s">
        <v>179</v>
      </c>
      <c r="J2007" t="s">
        <v>814</v>
      </c>
      <c r="K2007" t="s">
        <v>180</v>
      </c>
      <c r="L2007">
        <v>200016314</v>
      </c>
    </row>
    <row r="2008" spans="3:12">
      <c r="C2008">
        <v>2100300025</v>
      </c>
      <c r="D2008">
        <v>6426000</v>
      </c>
      <c r="E2008" t="s">
        <v>188</v>
      </c>
      <c r="F2008">
        <v>5210010105</v>
      </c>
      <c r="G2008">
        <v>500</v>
      </c>
      <c r="I2008" t="s">
        <v>179</v>
      </c>
      <c r="J2008" t="s">
        <v>814</v>
      </c>
      <c r="K2008" t="s">
        <v>180</v>
      </c>
      <c r="L2008">
        <v>200001026</v>
      </c>
    </row>
    <row r="2009" spans="3:12">
      <c r="C2009">
        <v>2100300025</v>
      </c>
      <c r="D2009">
        <v>6426000</v>
      </c>
      <c r="E2009" t="s">
        <v>188</v>
      </c>
      <c r="F2009">
        <v>5210010105</v>
      </c>
      <c r="G2009" s="13">
        <v>3905.5</v>
      </c>
      <c r="I2009" t="s">
        <v>179</v>
      </c>
      <c r="J2009" t="s">
        <v>814</v>
      </c>
      <c r="K2009" t="s">
        <v>180</v>
      </c>
      <c r="L2009">
        <v>200016404</v>
      </c>
    </row>
    <row r="2010" spans="3:12">
      <c r="C2010">
        <v>2100300025</v>
      </c>
      <c r="D2010">
        <v>6426000</v>
      </c>
      <c r="E2010" t="s">
        <v>188</v>
      </c>
      <c r="F2010">
        <v>5210010105</v>
      </c>
      <c r="G2010" s="13">
        <v>1500</v>
      </c>
      <c r="I2010" t="s">
        <v>179</v>
      </c>
      <c r="J2010" t="s">
        <v>814</v>
      </c>
      <c r="K2010" t="s">
        <v>180</v>
      </c>
      <c r="L2010">
        <v>200016316</v>
      </c>
    </row>
    <row r="2011" spans="3:12">
      <c r="C2011">
        <v>2100300025</v>
      </c>
      <c r="D2011">
        <v>6426000</v>
      </c>
      <c r="E2011" t="s">
        <v>188</v>
      </c>
      <c r="F2011">
        <v>5210010105</v>
      </c>
      <c r="G2011" s="13">
        <v>2511</v>
      </c>
      <c r="I2011" t="s">
        <v>179</v>
      </c>
      <c r="J2011" t="s">
        <v>814</v>
      </c>
      <c r="K2011" t="s">
        <v>180</v>
      </c>
      <c r="L2011">
        <v>200016317</v>
      </c>
    </row>
    <row r="2012" spans="3:12">
      <c r="C2012">
        <v>2100300025</v>
      </c>
      <c r="D2012">
        <v>6426000</v>
      </c>
      <c r="E2012" t="s">
        <v>188</v>
      </c>
      <c r="F2012">
        <v>5210010105</v>
      </c>
      <c r="G2012" s="13">
        <v>3284</v>
      </c>
      <c r="I2012" t="s">
        <v>179</v>
      </c>
      <c r="J2012" t="s">
        <v>814</v>
      </c>
      <c r="K2012" t="s">
        <v>180</v>
      </c>
      <c r="L2012">
        <v>200015756</v>
      </c>
    </row>
    <row r="2013" spans="3:12">
      <c r="C2013">
        <v>2100300025</v>
      </c>
      <c r="D2013">
        <v>6426000</v>
      </c>
      <c r="E2013" t="s">
        <v>188</v>
      </c>
      <c r="F2013">
        <v>5210010105</v>
      </c>
      <c r="G2013" s="13">
        <v>3210</v>
      </c>
      <c r="I2013" t="s">
        <v>179</v>
      </c>
      <c r="J2013" t="s">
        <v>814</v>
      </c>
      <c r="K2013" t="s">
        <v>180</v>
      </c>
      <c r="L2013">
        <v>200016318</v>
      </c>
    </row>
    <row r="2014" spans="3:12">
      <c r="C2014">
        <v>2100300025</v>
      </c>
      <c r="D2014">
        <v>6426000</v>
      </c>
      <c r="E2014" t="s">
        <v>188</v>
      </c>
      <c r="F2014">
        <v>5210010105</v>
      </c>
      <c r="G2014" s="13">
        <v>4500</v>
      </c>
      <c r="I2014" t="s">
        <v>179</v>
      </c>
      <c r="J2014" t="s">
        <v>814</v>
      </c>
      <c r="K2014" t="s">
        <v>180</v>
      </c>
      <c r="L2014">
        <v>200016319</v>
      </c>
    </row>
    <row r="2015" spans="3:12">
      <c r="C2015">
        <v>2100300025</v>
      </c>
      <c r="D2015">
        <v>6426000</v>
      </c>
      <c r="E2015" t="s">
        <v>188</v>
      </c>
      <c r="F2015">
        <v>5210010105</v>
      </c>
      <c r="G2015">
        <v>515</v>
      </c>
      <c r="I2015" t="s">
        <v>179</v>
      </c>
      <c r="J2015" t="s">
        <v>814</v>
      </c>
      <c r="K2015" t="s">
        <v>180</v>
      </c>
      <c r="L2015">
        <v>200015438</v>
      </c>
    </row>
    <row r="2016" spans="3:12">
      <c r="C2016">
        <v>2100300025</v>
      </c>
      <c r="D2016">
        <v>6426000</v>
      </c>
      <c r="E2016" t="s">
        <v>188</v>
      </c>
      <c r="F2016">
        <v>5210010105</v>
      </c>
      <c r="G2016" s="13">
        <v>2000</v>
      </c>
      <c r="I2016" t="s">
        <v>179</v>
      </c>
      <c r="J2016" t="s">
        <v>897</v>
      </c>
      <c r="K2016" t="s">
        <v>180</v>
      </c>
      <c r="L2016">
        <v>200019677</v>
      </c>
    </row>
    <row r="2017" spans="3:12">
      <c r="C2017">
        <v>2100300025</v>
      </c>
      <c r="D2017">
        <v>6426000</v>
      </c>
      <c r="E2017" t="s">
        <v>188</v>
      </c>
      <c r="F2017">
        <v>5210010105</v>
      </c>
      <c r="G2017" s="13">
        <v>41620</v>
      </c>
      <c r="I2017" t="s">
        <v>179</v>
      </c>
      <c r="J2017" t="s">
        <v>897</v>
      </c>
      <c r="K2017" t="s">
        <v>180</v>
      </c>
      <c r="L2017">
        <v>200016392</v>
      </c>
    </row>
    <row r="2018" spans="3:12">
      <c r="C2018">
        <v>2100300025</v>
      </c>
      <c r="D2018">
        <v>6426000</v>
      </c>
      <c r="E2018" t="s">
        <v>188</v>
      </c>
      <c r="F2018">
        <v>5210010105</v>
      </c>
      <c r="G2018" s="13">
        <v>1080837.5</v>
      </c>
      <c r="I2018" t="s">
        <v>179</v>
      </c>
      <c r="J2018" t="s">
        <v>897</v>
      </c>
      <c r="K2018" t="s">
        <v>180</v>
      </c>
      <c r="L2018">
        <v>200016393</v>
      </c>
    </row>
    <row r="2019" spans="3:12">
      <c r="C2019">
        <v>2100300025</v>
      </c>
      <c r="D2019">
        <v>6426000</v>
      </c>
      <c r="E2019" t="s">
        <v>188</v>
      </c>
      <c r="F2019">
        <v>5210010105</v>
      </c>
      <c r="G2019" s="13">
        <v>6050</v>
      </c>
      <c r="I2019" t="s">
        <v>179</v>
      </c>
      <c r="J2019" t="s">
        <v>897</v>
      </c>
      <c r="K2019" t="s">
        <v>180</v>
      </c>
      <c r="L2019">
        <v>200019839</v>
      </c>
    </row>
    <row r="2020" spans="3:12">
      <c r="C2020">
        <v>2100300025</v>
      </c>
      <c r="D2020">
        <v>6426000</v>
      </c>
      <c r="E2020" t="s">
        <v>188</v>
      </c>
      <c r="F2020">
        <v>5210010105</v>
      </c>
      <c r="G2020" s="13">
        <v>4100</v>
      </c>
      <c r="I2020" t="s">
        <v>179</v>
      </c>
      <c r="J2020" t="s">
        <v>897</v>
      </c>
      <c r="K2020" t="s">
        <v>180</v>
      </c>
      <c r="L2020">
        <v>200019319</v>
      </c>
    </row>
    <row r="2021" spans="3:12">
      <c r="C2021">
        <v>2100300025</v>
      </c>
      <c r="D2021">
        <v>6426000</v>
      </c>
      <c r="E2021" t="s">
        <v>188</v>
      </c>
      <c r="F2021">
        <v>5210010105</v>
      </c>
      <c r="G2021">
        <v>510</v>
      </c>
      <c r="I2021" t="s">
        <v>179</v>
      </c>
      <c r="J2021" t="s">
        <v>897</v>
      </c>
      <c r="K2021" t="s">
        <v>180</v>
      </c>
      <c r="L2021">
        <v>200019320</v>
      </c>
    </row>
    <row r="2022" spans="3:12">
      <c r="C2022">
        <v>2100300025</v>
      </c>
      <c r="D2022">
        <v>6426000</v>
      </c>
      <c r="E2022" t="s">
        <v>188</v>
      </c>
      <c r="F2022">
        <v>5210010105</v>
      </c>
      <c r="G2022" s="13">
        <v>1623.96</v>
      </c>
      <c r="I2022" t="s">
        <v>179</v>
      </c>
      <c r="J2022" t="s">
        <v>897</v>
      </c>
      <c r="K2022" t="s">
        <v>180</v>
      </c>
      <c r="L2022">
        <v>200019321</v>
      </c>
    </row>
    <row r="2023" spans="3:12">
      <c r="C2023">
        <v>2100300025</v>
      </c>
      <c r="D2023">
        <v>6426000</v>
      </c>
      <c r="E2023" t="s">
        <v>188</v>
      </c>
      <c r="F2023">
        <v>5210010105</v>
      </c>
      <c r="G2023" s="13">
        <v>4728</v>
      </c>
      <c r="I2023" t="s">
        <v>179</v>
      </c>
      <c r="J2023" t="s">
        <v>897</v>
      </c>
      <c r="K2023" t="s">
        <v>180</v>
      </c>
      <c r="L2023">
        <v>200019322</v>
      </c>
    </row>
    <row r="2024" spans="3:12">
      <c r="C2024">
        <v>2100300025</v>
      </c>
      <c r="D2024">
        <v>6426000</v>
      </c>
      <c r="E2024" t="s">
        <v>188</v>
      </c>
      <c r="F2024">
        <v>5210010105</v>
      </c>
      <c r="G2024" s="13">
        <v>1284</v>
      </c>
      <c r="I2024" t="s">
        <v>179</v>
      </c>
      <c r="J2024" t="s">
        <v>898</v>
      </c>
      <c r="K2024" t="s">
        <v>180</v>
      </c>
      <c r="L2024">
        <v>200022831</v>
      </c>
    </row>
    <row r="2025" spans="3:12">
      <c r="C2025">
        <v>2100300025</v>
      </c>
      <c r="D2025">
        <v>6426000</v>
      </c>
      <c r="E2025" t="s">
        <v>188</v>
      </c>
      <c r="F2025">
        <v>5210010105</v>
      </c>
      <c r="G2025" s="13">
        <v>17784</v>
      </c>
      <c r="I2025" t="s">
        <v>179</v>
      </c>
      <c r="J2025" t="s">
        <v>898</v>
      </c>
      <c r="K2025" t="s">
        <v>180</v>
      </c>
      <c r="L2025">
        <v>200023167</v>
      </c>
    </row>
    <row r="2026" spans="3:12">
      <c r="C2026">
        <v>2100300025</v>
      </c>
      <c r="D2026">
        <v>6426000</v>
      </c>
      <c r="E2026" t="s">
        <v>188</v>
      </c>
      <c r="F2026">
        <v>5210010105</v>
      </c>
      <c r="G2026" s="13">
        <v>3035</v>
      </c>
      <c r="I2026" t="s">
        <v>179</v>
      </c>
      <c r="J2026" t="s">
        <v>898</v>
      </c>
      <c r="K2026" t="s">
        <v>180</v>
      </c>
      <c r="L2026">
        <v>200022785</v>
      </c>
    </row>
    <row r="2027" spans="3:12">
      <c r="C2027">
        <v>2100300025</v>
      </c>
      <c r="D2027">
        <v>6426000</v>
      </c>
      <c r="E2027" t="s">
        <v>188</v>
      </c>
      <c r="F2027">
        <v>5210010105</v>
      </c>
      <c r="G2027" s="13">
        <v>1170</v>
      </c>
      <c r="I2027" t="s">
        <v>179</v>
      </c>
      <c r="J2027" t="s">
        <v>898</v>
      </c>
      <c r="K2027" t="s">
        <v>180</v>
      </c>
      <c r="L2027">
        <v>200019768</v>
      </c>
    </row>
    <row r="2028" spans="3:12">
      <c r="C2028">
        <v>2100300025</v>
      </c>
      <c r="D2028">
        <v>6426000</v>
      </c>
      <c r="E2028" t="s">
        <v>188</v>
      </c>
      <c r="F2028">
        <v>5210010105</v>
      </c>
      <c r="G2028" s="13">
        <v>1800</v>
      </c>
      <c r="I2028" t="s">
        <v>179</v>
      </c>
      <c r="J2028" t="s">
        <v>898</v>
      </c>
      <c r="K2028" t="s">
        <v>180</v>
      </c>
      <c r="L2028">
        <v>200022795</v>
      </c>
    </row>
    <row r="2029" spans="3:12">
      <c r="C2029">
        <v>2100300025</v>
      </c>
      <c r="D2029">
        <v>6426000</v>
      </c>
      <c r="E2029" t="s">
        <v>188</v>
      </c>
      <c r="F2029">
        <v>5210010105</v>
      </c>
      <c r="G2029">
        <v>450</v>
      </c>
      <c r="I2029" t="s">
        <v>179</v>
      </c>
      <c r="J2029" t="s">
        <v>898</v>
      </c>
      <c r="K2029" t="s">
        <v>180</v>
      </c>
      <c r="L2029">
        <v>200019769</v>
      </c>
    </row>
    <row r="2030" spans="3:12">
      <c r="C2030">
        <v>2100300025</v>
      </c>
      <c r="D2030">
        <v>6426000</v>
      </c>
      <c r="E2030" t="s">
        <v>188</v>
      </c>
      <c r="F2030">
        <v>5210010105</v>
      </c>
      <c r="G2030" s="13">
        <v>3210</v>
      </c>
      <c r="I2030" t="s">
        <v>179</v>
      </c>
      <c r="J2030" t="s">
        <v>898</v>
      </c>
      <c r="K2030" t="s">
        <v>180</v>
      </c>
      <c r="L2030">
        <v>200019770</v>
      </c>
    </row>
    <row r="2031" spans="3:12">
      <c r="C2031">
        <v>2100300025</v>
      </c>
      <c r="D2031">
        <v>6426000</v>
      </c>
      <c r="E2031" t="s">
        <v>188</v>
      </c>
      <c r="F2031">
        <v>5210010105</v>
      </c>
      <c r="G2031" s="13">
        <v>67220</v>
      </c>
      <c r="I2031" t="s">
        <v>179</v>
      </c>
      <c r="J2031" t="s">
        <v>898</v>
      </c>
      <c r="K2031" t="s">
        <v>180</v>
      </c>
      <c r="L2031">
        <v>200023178</v>
      </c>
    </row>
    <row r="2032" spans="3:12">
      <c r="C2032">
        <v>2100300025</v>
      </c>
      <c r="D2032">
        <v>6426000</v>
      </c>
      <c r="E2032" t="s">
        <v>188</v>
      </c>
      <c r="F2032">
        <v>5210010105</v>
      </c>
      <c r="G2032" s="13">
        <v>102506</v>
      </c>
      <c r="I2032" t="s">
        <v>179</v>
      </c>
      <c r="J2032" t="s">
        <v>898</v>
      </c>
      <c r="K2032" t="s">
        <v>180</v>
      </c>
      <c r="L2032">
        <v>200023179</v>
      </c>
    </row>
    <row r="2033" spans="3:12">
      <c r="C2033">
        <v>2100300025</v>
      </c>
      <c r="D2033">
        <v>6426000</v>
      </c>
      <c r="E2033" t="s">
        <v>188</v>
      </c>
      <c r="F2033">
        <v>5210010105</v>
      </c>
      <c r="G2033" s="13">
        <v>589316.66</v>
      </c>
      <c r="I2033" t="s">
        <v>179</v>
      </c>
      <c r="J2033" t="s">
        <v>814</v>
      </c>
      <c r="K2033" t="s">
        <v>180</v>
      </c>
      <c r="L2033">
        <v>200016104</v>
      </c>
    </row>
    <row r="2034" spans="3:12">
      <c r="C2034">
        <v>2100300025</v>
      </c>
      <c r="D2034">
        <v>6426000</v>
      </c>
      <c r="E2034" t="s">
        <v>188</v>
      </c>
      <c r="F2034">
        <v>5210010105</v>
      </c>
      <c r="G2034" s="13">
        <v>67624</v>
      </c>
      <c r="I2034" t="s">
        <v>179</v>
      </c>
      <c r="J2034" t="s">
        <v>814</v>
      </c>
      <c r="K2034" t="s">
        <v>180</v>
      </c>
      <c r="L2034">
        <v>200015989</v>
      </c>
    </row>
    <row r="2035" spans="3:12">
      <c r="C2035">
        <v>2100300025</v>
      </c>
      <c r="D2035">
        <v>6426000</v>
      </c>
      <c r="E2035" t="s">
        <v>188</v>
      </c>
      <c r="F2035">
        <v>5210010105</v>
      </c>
      <c r="G2035" s="13">
        <v>5000</v>
      </c>
      <c r="I2035" t="s">
        <v>179</v>
      </c>
      <c r="J2035" t="s">
        <v>814</v>
      </c>
      <c r="K2035" t="s">
        <v>180</v>
      </c>
      <c r="L2035">
        <v>200014582</v>
      </c>
    </row>
    <row r="2036" spans="3:12">
      <c r="C2036">
        <v>2100300025</v>
      </c>
      <c r="D2036">
        <v>6426000</v>
      </c>
      <c r="E2036" t="s">
        <v>188</v>
      </c>
      <c r="F2036">
        <v>5210010105</v>
      </c>
      <c r="G2036" s="13">
        <v>22000</v>
      </c>
      <c r="I2036" t="s">
        <v>179</v>
      </c>
      <c r="J2036" t="s">
        <v>814</v>
      </c>
      <c r="K2036" t="s">
        <v>180</v>
      </c>
      <c r="L2036">
        <v>200015844</v>
      </c>
    </row>
    <row r="2037" spans="3:12">
      <c r="C2037">
        <v>2100300025</v>
      </c>
      <c r="D2037">
        <v>6426000</v>
      </c>
      <c r="E2037" t="s">
        <v>188</v>
      </c>
      <c r="F2037">
        <v>5210010105</v>
      </c>
      <c r="G2037" s="13">
        <v>30000</v>
      </c>
      <c r="I2037" t="s">
        <v>179</v>
      </c>
      <c r="J2037" t="s">
        <v>814</v>
      </c>
      <c r="K2037" t="s">
        <v>180</v>
      </c>
      <c r="L2037">
        <v>200015991</v>
      </c>
    </row>
    <row r="2038" spans="3:12">
      <c r="C2038">
        <v>2100300025</v>
      </c>
      <c r="D2038">
        <v>6426000</v>
      </c>
      <c r="E2038" t="s">
        <v>188</v>
      </c>
      <c r="F2038">
        <v>5210010105</v>
      </c>
      <c r="G2038" s="13">
        <v>26305</v>
      </c>
      <c r="I2038" t="s">
        <v>179</v>
      </c>
      <c r="J2038" t="s">
        <v>814</v>
      </c>
      <c r="K2038" t="s">
        <v>180</v>
      </c>
      <c r="L2038">
        <v>200014648</v>
      </c>
    </row>
    <row r="2039" spans="3:12">
      <c r="C2039">
        <v>2100300025</v>
      </c>
      <c r="D2039">
        <v>6426000</v>
      </c>
      <c r="E2039" t="s">
        <v>188</v>
      </c>
      <c r="F2039">
        <v>5210010105</v>
      </c>
      <c r="G2039" s="13">
        <v>25000</v>
      </c>
      <c r="I2039" t="s">
        <v>179</v>
      </c>
      <c r="J2039" t="s">
        <v>814</v>
      </c>
      <c r="K2039" t="s">
        <v>180</v>
      </c>
      <c r="L2039">
        <v>200001239</v>
      </c>
    </row>
    <row r="2040" spans="3:12">
      <c r="C2040">
        <v>2100300025</v>
      </c>
      <c r="D2040">
        <v>6426000</v>
      </c>
      <c r="E2040" t="s">
        <v>188</v>
      </c>
      <c r="F2040">
        <v>5210010105</v>
      </c>
      <c r="G2040" s="13">
        <v>1567</v>
      </c>
      <c r="I2040" t="s">
        <v>179</v>
      </c>
      <c r="J2040" t="s">
        <v>816</v>
      </c>
      <c r="K2040" t="s">
        <v>180</v>
      </c>
      <c r="L2040">
        <v>200022542</v>
      </c>
    </row>
    <row r="2041" spans="3:12">
      <c r="C2041">
        <v>2100300025</v>
      </c>
      <c r="D2041">
        <v>6426000</v>
      </c>
      <c r="E2041" t="s">
        <v>188</v>
      </c>
      <c r="F2041">
        <v>5210010105</v>
      </c>
      <c r="G2041">
        <v>66</v>
      </c>
      <c r="I2041" t="s">
        <v>179</v>
      </c>
      <c r="J2041" t="s">
        <v>816</v>
      </c>
      <c r="K2041" t="s">
        <v>180</v>
      </c>
      <c r="L2041">
        <v>200022543</v>
      </c>
    </row>
    <row r="2042" spans="3:12">
      <c r="C2042">
        <v>2100300025</v>
      </c>
      <c r="D2042">
        <v>6426000</v>
      </c>
      <c r="E2042" t="s">
        <v>188</v>
      </c>
      <c r="F2042">
        <v>5210010105</v>
      </c>
      <c r="G2042" s="13">
        <v>3210</v>
      </c>
      <c r="I2042" t="s">
        <v>179</v>
      </c>
      <c r="J2042" t="s">
        <v>816</v>
      </c>
      <c r="K2042" t="s">
        <v>180</v>
      </c>
      <c r="L2042">
        <v>200020847</v>
      </c>
    </row>
    <row r="2043" spans="3:12">
      <c r="C2043">
        <v>2100300025</v>
      </c>
      <c r="D2043">
        <v>6426000</v>
      </c>
      <c r="E2043" t="s">
        <v>188</v>
      </c>
      <c r="F2043">
        <v>5210010105</v>
      </c>
      <c r="G2043">
        <v>890</v>
      </c>
      <c r="I2043" t="s">
        <v>179</v>
      </c>
      <c r="J2043" t="s">
        <v>816</v>
      </c>
      <c r="K2043" t="s">
        <v>180</v>
      </c>
      <c r="L2043">
        <v>200022548</v>
      </c>
    </row>
    <row r="2044" spans="3:12">
      <c r="C2044">
        <v>2100300025</v>
      </c>
      <c r="D2044">
        <v>6426000</v>
      </c>
      <c r="E2044" t="s">
        <v>188</v>
      </c>
      <c r="F2044">
        <v>5210010105</v>
      </c>
      <c r="G2044" s="13">
        <v>2000</v>
      </c>
      <c r="I2044" t="s">
        <v>179</v>
      </c>
      <c r="J2044" t="s">
        <v>816</v>
      </c>
      <c r="K2044" t="s">
        <v>180</v>
      </c>
      <c r="L2044">
        <v>200022550</v>
      </c>
    </row>
    <row r="2045" spans="3:12">
      <c r="C2045">
        <v>2100300025</v>
      </c>
      <c r="D2045">
        <v>6426000</v>
      </c>
      <c r="E2045" t="s">
        <v>188</v>
      </c>
      <c r="F2045">
        <v>5210010105</v>
      </c>
      <c r="G2045" s="13">
        <v>3210</v>
      </c>
      <c r="I2045" t="s">
        <v>179</v>
      </c>
      <c r="J2045" t="s">
        <v>816</v>
      </c>
      <c r="K2045" t="s">
        <v>180</v>
      </c>
      <c r="L2045">
        <v>200021854</v>
      </c>
    </row>
    <row r="2046" spans="3:12">
      <c r="C2046">
        <v>2100300025</v>
      </c>
      <c r="D2046">
        <v>6426000</v>
      </c>
      <c r="E2046" t="s">
        <v>188</v>
      </c>
      <c r="F2046">
        <v>5210010105</v>
      </c>
      <c r="G2046" s="13">
        <v>1050</v>
      </c>
      <c r="I2046" t="s">
        <v>179</v>
      </c>
      <c r="J2046" t="s">
        <v>816</v>
      </c>
      <c r="K2046" t="s">
        <v>180</v>
      </c>
      <c r="L2046">
        <v>200021855</v>
      </c>
    </row>
    <row r="2047" spans="3:12">
      <c r="C2047">
        <v>2100300025</v>
      </c>
      <c r="D2047">
        <v>6426000</v>
      </c>
      <c r="E2047" t="s">
        <v>188</v>
      </c>
      <c r="F2047">
        <v>5210010105</v>
      </c>
      <c r="G2047">
        <v>160.5</v>
      </c>
      <c r="I2047" t="s">
        <v>179</v>
      </c>
      <c r="J2047" t="s">
        <v>816</v>
      </c>
      <c r="K2047" t="s">
        <v>180</v>
      </c>
      <c r="L2047">
        <v>200021856</v>
      </c>
    </row>
    <row r="2048" spans="3:12">
      <c r="C2048">
        <v>2100300025</v>
      </c>
      <c r="D2048">
        <v>6426000</v>
      </c>
      <c r="E2048" t="s">
        <v>188</v>
      </c>
      <c r="F2048">
        <v>5210010105</v>
      </c>
      <c r="G2048">
        <v>663.4</v>
      </c>
      <c r="I2048" t="s">
        <v>179</v>
      </c>
      <c r="J2048" t="s">
        <v>816</v>
      </c>
      <c r="K2048" t="s">
        <v>180</v>
      </c>
      <c r="L2048">
        <v>200021857</v>
      </c>
    </row>
    <row r="2049" spans="3:12">
      <c r="C2049">
        <v>2100300025</v>
      </c>
      <c r="D2049">
        <v>6426000</v>
      </c>
      <c r="E2049" t="s">
        <v>188</v>
      </c>
      <c r="F2049">
        <v>5210010105</v>
      </c>
      <c r="G2049">
        <v>702.32</v>
      </c>
      <c r="I2049" t="s">
        <v>179</v>
      </c>
      <c r="J2049" t="s">
        <v>816</v>
      </c>
      <c r="K2049" t="s">
        <v>180</v>
      </c>
      <c r="L2049">
        <v>200021858</v>
      </c>
    </row>
    <row r="2050" spans="3:12">
      <c r="C2050">
        <v>2100300025</v>
      </c>
      <c r="D2050">
        <v>6426000</v>
      </c>
      <c r="E2050" t="s">
        <v>188</v>
      </c>
      <c r="F2050">
        <v>5210010105</v>
      </c>
      <c r="G2050" s="13">
        <v>17100</v>
      </c>
      <c r="I2050" t="s">
        <v>179</v>
      </c>
      <c r="J2050" t="s">
        <v>816</v>
      </c>
      <c r="K2050" t="s">
        <v>180</v>
      </c>
      <c r="L2050">
        <v>200021859</v>
      </c>
    </row>
    <row r="2051" spans="3:12">
      <c r="C2051">
        <v>2100300025</v>
      </c>
      <c r="D2051">
        <v>6426000</v>
      </c>
      <c r="E2051" t="s">
        <v>188</v>
      </c>
      <c r="F2051">
        <v>5210010105</v>
      </c>
      <c r="G2051">
        <v>720</v>
      </c>
      <c r="I2051" t="s">
        <v>179</v>
      </c>
      <c r="J2051" t="s">
        <v>816</v>
      </c>
      <c r="K2051" t="s">
        <v>180</v>
      </c>
      <c r="L2051">
        <v>200021860</v>
      </c>
    </row>
    <row r="2052" spans="3:12">
      <c r="C2052">
        <v>2100300025</v>
      </c>
      <c r="D2052">
        <v>6426000</v>
      </c>
      <c r="E2052" t="s">
        <v>188</v>
      </c>
      <c r="F2052">
        <v>5210010105</v>
      </c>
      <c r="G2052" s="13">
        <v>2086.5</v>
      </c>
      <c r="I2052" t="s">
        <v>179</v>
      </c>
      <c r="J2052" t="s">
        <v>816</v>
      </c>
      <c r="K2052" t="s">
        <v>180</v>
      </c>
      <c r="L2052">
        <v>200021861</v>
      </c>
    </row>
    <row r="2053" spans="3:12">
      <c r="C2053">
        <v>2100300025</v>
      </c>
      <c r="D2053">
        <v>6426000</v>
      </c>
      <c r="E2053" t="s">
        <v>188</v>
      </c>
      <c r="F2053">
        <v>5210010105</v>
      </c>
      <c r="G2053" s="13">
        <v>27550</v>
      </c>
      <c r="I2053" t="s">
        <v>179</v>
      </c>
      <c r="J2053" t="s">
        <v>899</v>
      </c>
      <c r="K2053" t="s">
        <v>180</v>
      </c>
      <c r="L2053">
        <v>200015602</v>
      </c>
    </row>
    <row r="2054" spans="3:12">
      <c r="C2054">
        <v>2100300025</v>
      </c>
      <c r="D2054">
        <v>6426000</v>
      </c>
      <c r="E2054" t="s">
        <v>188</v>
      </c>
      <c r="F2054">
        <v>5210010105</v>
      </c>
      <c r="G2054" s="13">
        <v>43335</v>
      </c>
      <c r="I2054" t="s">
        <v>179</v>
      </c>
      <c r="J2054" t="s">
        <v>882</v>
      </c>
      <c r="K2054" t="s">
        <v>180</v>
      </c>
      <c r="L2054">
        <v>200005504</v>
      </c>
    </row>
    <row r="2055" spans="3:12">
      <c r="C2055">
        <v>2100300025</v>
      </c>
      <c r="D2055">
        <v>6426000</v>
      </c>
      <c r="E2055" t="s">
        <v>188</v>
      </c>
      <c r="F2055">
        <v>5210010105</v>
      </c>
      <c r="G2055" s="13">
        <v>269832.59999999998</v>
      </c>
      <c r="I2055" t="s">
        <v>179</v>
      </c>
      <c r="J2055" t="s">
        <v>882</v>
      </c>
      <c r="K2055" t="s">
        <v>180</v>
      </c>
      <c r="L2055">
        <v>200005505</v>
      </c>
    </row>
    <row r="2056" spans="3:12">
      <c r="C2056">
        <v>2100300025</v>
      </c>
      <c r="D2056">
        <v>6426000</v>
      </c>
      <c r="E2056" t="s">
        <v>188</v>
      </c>
      <c r="F2056">
        <v>5210010105</v>
      </c>
      <c r="G2056" s="13">
        <v>6291.6</v>
      </c>
      <c r="I2056" t="s">
        <v>179</v>
      </c>
      <c r="J2056" t="s">
        <v>882</v>
      </c>
      <c r="K2056" t="s">
        <v>180</v>
      </c>
      <c r="L2056">
        <v>200004994</v>
      </c>
    </row>
    <row r="2057" spans="3:12">
      <c r="C2057">
        <v>2100300025</v>
      </c>
      <c r="D2057">
        <v>6426000</v>
      </c>
      <c r="E2057" t="s">
        <v>188</v>
      </c>
      <c r="F2057">
        <v>5210010105</v>
      </c>
      <c r="G2057" s="13">
        <v>117700</v>
      </c>
      <c r="I2057" t="s">
        <v>179</v>
      </c>
      <c r="J2057" t="s">
        <v>882</v>
      </c>
      <c r="K2057" t="s">
        <v>180</v>
      </c>
      <c r="L2057">
        <v>200004995</v>
      </c>
    </row>
    <row r="2058" spans="3:12">
      <c r="C2058">
        <v>2100300025</v>
      </c>
      <c r="D2058">
        <v>6426000</v>
      </c>
      <c r="E2058" t="s">
        <v>188</v>
      </c>
      <c r="F2058">
        <v>5210010105</v>
      </c>
      <c r="G2058" s="13">
        <v>40500</v>
      </c>
      <c r="I2058" t="s">
        <v>179</v>
      </c>
      <c r="J2058" t="s">
        <v>882</v>
      </c>
      <c r="K2058" t="s">
        <v>180</v>
      </c>
      <c r="L2058">
        <v>200005506</v>
      </c>
    </row>
    <row r="2059" spans="3:12">
      <c r="C2059">
        <v>2100300025</v>
      </c>
      <c r="D2059">
        <v>6426000</v>
      </c>
      <c r="E2059" t="s">
        <v>188</v>
      </c>
      <c r="F2059">
        <v>5210010105</v>
      </c>
      <c r="G2059" s="13">
        <v>3500</v>
      </c>
      <c r="I2059" t="s">
        <v>179</v>
      </c>
      <c r="J2059" t="s">
        <v>882</v>
      </c>
      <c r="K2059" t="s">
        <v>180</v>
      </c>
      <c r="L2059">
        <v>200004996</v>
      </c>
    </row>
    <row r="2060" spans="3:12">
      <c r="C2060">
        <v>2100300025</v>
      </c>
      <c r="D2060">
        <v>6426000</v>
      </c>
      <c r="E2060" t="s">
        <v>188</v>
      </c>
      <c r="F2060">
        <v>5210010105</v>
      </c>
      <c r="G2060" s="13">
        <v>1500</v>
      </c>
      <c r="I2060" t="s">
        <v>179</v>
      </c>
      <c r="J2060" t="s">
        <v>882</v>
      </c>
      <c r="K2060" t="s">
        <v>180</v>
      </c>
      <c r="L2060">
        <v>200004997</v>
      </c>
    </row>
    <row r="2061" spans="3:12">
      <c r="C2061">
        <v>2100300025</v>
      </c>
      <c r="D2061">
        <v>6426000</v>
      </c>
      <c r="E2061" t="s">
        <v>188</v>
      </c>
      <c r="F2061">
        <v>5210010105</v>
      </c>
      <c r="G2061" s="13">
        <v>223800</v>
      </c>
      <c r="I2061" t="s">
        <v>179</v>
      </c>
      <c r="J2061" t="s">
        <v>882</v>
      </c>
      <c r="K2061" t="s">
        <v>180</v>
      </c>
      <c r="L2061">
        <v>200005507</v>
      </c>
    </row>
    <row r="2062" spans="3:12">
      <c r="C2062">
        <v>2100300025</v>
      </c>
      <c r="D2062">
        <v>6426000</v>
      </c>
      <c r="E2062" t="s">
        <v>188</v>
      </c>
      <c r="F2062">
        <v>5210010105</v>
      </c>
      <c r="G2062" s="13">
        <v>6945</v>
      </c>
      <c r="I2062" t="s">
        <v>179</v>
      </c>
      <c r="J2062" t="s">
        <v>882</v>
      </c>
      <c r="K2062" t="s">
        <v>180</v>
      </c>
      <c r="L2062">
        <v>200000989</v>
      </c>
    </row>
    <row r="2063" spans="3:12">
      <c r="C2063">
        <v>2100300025</v>
      </c>
      <c r="D2063">
        <v>6426000</v>
      </c>
      <c r="E2063" t="s">
        <v>188</v>
      </c>
      <c r="F2063">
        <v>5210010105</v>
      </c>
      <c r="G2063" s="13">
        <v>8700</v>
      </c>
      <c r="I2063" t="s">
        <v>179</v>
      </c>
      <c r="J2063" t="s">
        <v>882</v>
      </c>
      <c r="K2063" t="s">
        <v>180</v>
      </c>
      <c r="L2063">
        <v>200004998</v>
      </c>
    </row>
    <row r="2064" spans="3:12">
      <c r="C2064">
        <v>2100300025</v>
      </c>
      <c r="D2064">
        <v>6426000</v>
      </c>
      <c r="E2064" t="s">
        <v>188</v>
      </c>
      <c r="F2064">
        <v>5210010105</v>
      </c>
      <c r="G2064" s="13">
        <v>444606.4</v>
      </c>
      <c r="I2064" t="s">
        <v>179</v>
      </c>
      <c r="J2064" t="s">
        <v>882</v>
      </c>
      <c r="K2064" t="s">
        <v>180</v>
      </c>
      <c r="L2064">
        <v>200004999</v>
      </c>
    </row>
    <row r="2065" spans="3:12">
      <c r="C2065">
        <v>2100300025</v>
      </c>
      <c r="D2065">
        <v>6426000</v>
      </c>
      <c r="E2065" t="s">
        <v>188</v>
      </c>
      <c r="F2065">
        <v>5210010105</v>
      </c>
      <c r="G2065" s="13">
        <v>2000</v>
      </c>
      <c r="I2065" t="s">
        <v>179</v>
      </c>
      <c r="J2065" t="s">
        <v>882</v>
      </c>
      <c r="K2065" t="s">
        <v>180</v>
      </c>
      <c r="L2065">
        <v>200003400</v>
      </c>
    </row>
    <row r="2066" spans="3:12">
      <c r="C2066">
        <v>2100300025</v>
      </c>
      <c r="D2066">
        <v>6426000</v>
      </c>
      <c r="E2066" t="s">
        <v>188</v>
      </c>
      <c r="F2066">
        <v>5210010105</v>
      </c>
      <c r="G2066" s="13">
        <v>24000</v>
      </c>
      <c r="I2066" t="s">
        <v>179</v>
      </c>
      <c r="J2066" t="s">
        <v>810</v>
      </c>
      <c r="K2066" t="s">
        <v>180</v>
      </c>
      <c r="L2066">
        <v>200008058</v>
      </c>
    </row>
    <row r="2067" spans="3:12">
      <c r="C2067">
        <v>2100300025</v>
      </c>
      <c r="D2067">
        <v>6426000</v>
      </c>
      <c r="E2067" t="s">
        <v>188</v>
      </c>
      <c r="F2067">
        <v>5210010105</v>
      </c>
      <c r="G2067" s="13">
        <v>1440</v>
      </c>
      <c r="I2067" t="s">
        <v>179</v>
      </c>
      <c r="J2067" t="s">
        <v>810</v>
      </c>
      <c r="K2067" t="s">
        <v>180</v>
      </c>
      <c r="L2067">
        <v>200008059</v>
      </c>
    </row>
    <row r="2068" spans="3:12">
      <c r="C2068">
        <v>2100300025</v>
      </c>
      <c r="D2068">
        <v>6426000</v>
      </c>
      <c r="E2068" t="s">
        <v>188</v>
      </c>
      <c r="F2068">
        <v>5210010105</v>
      </c>
      <c r="G2068" s="13">
        <v>3520</v>
      </c>
      <c r="I2068" t="s">
        <v>179</v>
      </c>
      <c r="J2068" t="s">
        <v>810</v>
      </c>
      <c r="K2068" t="s">
        <v>180</v>
      </c>
      <c r="L2068">
        <v>200008060</v>
      </c>
    </row>
    <row r="2069" spans="3:12">
      <c r="C2069">
        <v>2100300025</v>
      </c>
      <c r="D2069">
        <v>6426000</v>
      </c>
      <c r="E2069" t="s">
        <v>188</v>
      </c>
      <c r="F2069">
        <v>5210010105</v>
      </c>
      <c r="G2069" s="13">
        <v>1215</v>
      </c>
      <c r="I2069" t="s">
        <v>179</v>
      </c>
      <c r="J2069" t="s">
        <v>810</v>
      </c>
      <c r="K2069" t="s">
        <v>180</v>
      </c>
      <c r="L2069">
        <v>200008061</v>
      </c>
    </row>
    <row r="2070" spans="3:12">
      <c r="C2070">
        <v>2100300025</v>
      </c>
      <c r="D2070">
        <v>6426000</v>
      </c>
      <c r="E2070" t="s">
        <v>188</v>
      </c>
      <c r="F2070">
        <v>5210010105</v>
      </c>
      <c r="G2070">
        <v>427</v>
      </c>
      <c r="I2070" t="s">
        <v>179</v>
      </c>
      <c r="J2070" t="s">
        <v>883</v>
      </c>
      <c r="K2070" t="s">
        <v>180</v>
      </c>
      <c r="L2070">
        <v>200008301</v>
      </c>
    </row>
    <row r="2071" spans="3:12">
      <c r="C2071">
        <v>2100300025</v>
      </c>
      <c r="D2071">
        <v>6426000</v>
      </c>
      <c r="E2071" t="s">
        <v>188</v>
      </c>
      <c r="F2071">
        <v>5210010105</v>
      </c>
      <c r="G2071">
        <v>220</v>
      </c>
      <c r="I2071" t="s">
        <v>179</v>
      </c>
      <c r="J2071" t="s">
        <v>883</v>
      </c>
      <c r="K2071" t="s">
        <v>180</v>
      </c>
      <c r="L2071">
        <v>200008302</v>
      </c>
    </row>
    <row r="2072" spans="3:12">
      <c r="C2072">
        <v>2100300025</v>
      </c>
      <c r="D2072">
        <v>6426000</v>
      </c>
      <c r="E2072" t="s">
        <v>188</v>
      </c>
      <c r="F2072">
        <v>5210010105</v>
      </c>
      <c r="G2072">
        <v>960</v>
      </c>
      <c r="I2072" t="s">
        <v>179</v>
      </c>
      <c r="J2072" t="s">
        <v>883</v>
      </c>
      <c r="K2072" t="s">
        <v>180</v>
      </c>
      <c r="L2072">
        <v>200008303</v>
      </c>
    </row>
    <row r="2073" spans="3:12">
      <c r="C2073">
        <v>2100300025</v>
      </c>
      <c r="D2073">
        <v>6426000</v>
      </c>
      <c r="E2073" t="s">
        <v>188</v>
      </c>
      <c r="F2073">
        <v>5210010105</v>
      </c>
      <c r="G2073" s="13">
        <v>4680</v>
      </c>
      <c r="I2073" t="s">
        <v>179</v>
      </c>
      <c r="J2073" t="s">
        <v>883</v>
      </c>
      <c r="K2073" t="s">
        <v>180</v>
      </c>
      <c r="L2073">
        <v>200008304</v>
      </c>
    </row>
    <row r="2074" spans="3:12">
      <c r="C2074">
        <v>2100300025</v>
      </c>
      <c r="D2074">
        <v>6426000</v>
      </c>
      <c r="E2074" t="s">
        <v>188</v>
      </c>
      <c r="F2074">
        <v>5210010105</v>
      </c>
      <c r="G2074" s="13">
        <v>96000</v>
      </c>
      <c r="I2074" t="s">
        <v>179</v>
      </c>
      <c r="J2074" t="s">
        <v>884</v>
      </c>
      <c r="K2074" t="s">
        <v>180</v>
      </c>
      <c r="L2074">
        <v>200007792</v>
      </c>
    </row>
    <row r="2075" spans="3:12">
      <c r="C2075">
        <v>2100300025</v>
      </c>
      <c r="D2075">
        <v>6426000</v>
      </c>
      <c r="E2075" t="s">
        <v>188</v>
      </c>
      <c r="F2075">
        <v>5210010105</v>
      </c>
      <c r="G2075" s="13">
        <v>59649</v>
      </c>
      <c r="I2075" t="s">
        <v>179</v>
      </c>
      <c r="J2075" t="s">
        <v>884</v>
      </c>
      <c r="K2075" t="s">
        <v>180</v>
      </c>
      <c r="L2075">
        <v>200006229</v>
      </c>
    </row>
    <row r="2076" spans="3:12">
      <c r="C2076">
        <v>2100300025</v>
      </c>
      <c r="D2076">
        <v>6426000</v>
      </c>
      <c r="E2076" t="s">
        <v>188</v>
      </c>
      <c r="F2076">
        <v>5210010105</v>
      </c>
      <c r="G2076" s="13">
        <v>8053.89</v>
      </c>
      <c r="I2076" t="s">
        <v>179</v>
      </c>
      <c r="J2076" t="s">
        <v>886</v>
      </c>
      <c r="K2076" t="s">
        <v>180</v>
      </c>
      <c r="L2076">
        <v>200007755</v>
      </c>
    </row>
    <row r="2077" spans="3:12">
      <c r="C2077">
        <v>2100300025</v>
      </c>
      <c r="D2077">
        <v>6426000</v>
      </c>
      <c r="E2077" t="s">
        <v>188</v>
      </c>
      <c r="F2077">
        <v>5210010105</v>
      </c>
      <c r="G2077" s="13">
        <v>3381.2</v>
      </c>
      <c r="I2077" t="s">
        <v>179</v>
      </c>
      <c r="J2077" t="s">
        <v>886</v>
      </c>
      <c r="K2077" t="s">
        <v>180</v>
      </c>
      <c r="L2077">
        <v>200007756</v>
      </c>
    </row>
    <row r="2078" spans="3:12">
      <c r="C2078">
        <v>2100300025</v>
      </c>
      <c r="D2078">
        <v>6426000</v>
      </c>
      <c r="E2078" t="s">
        <v>188</v>
      </c>
      <c r="F2078">
        <v>5210010105</v>
      </c>
      <c r="G2078" s="13">
        <v>195489</v>
      </c>
      <c r="I2078" t="s">
        <v>179</v>
      </c>
      <c r="J2078" t="s">
        <v>886</v>
      </c>
      <c r="K2078" t="s">
        <v>180</v>
      </c>
      <c r="L2078">
        <v>200007757</v>
      </c>
    </row>
    <row r="2079" spans="3:12">
      <c r="C2079">
        <v>2100300025</v>
      </c>
      <c r="D2079">
        <v>6426000</v>
      </c>
      <c r="E2079" t="s">
        <v>188</v>
      </c>
      <c r="F2079">
        <v>5210010105</v>
      </c>
      <c r="G2079" s="13">
        <v>3795</v>
      </c>
      <c r="I2079" t="s">
        <v>179</v>
      </c>
      <c r="J2079" t="s">
        <v>886</v>
      </c>
      <c r="K2079" t="s">
        <v>180</v>
      </c>
      <c r="L2079">
        <v>200007758</v>
      </c>
    </row>
    <row r="2080" spans="3:12">
      <c r="C2080">
        <v>2100300025</v>
      </c>
      <c r="D2080">
        <v>6426000</v>
      </c>
      <c r="E2080" t="s">
        <v>188</v>
      </c>
      <c r="F2080">
        <v>5210010105</v>
      </c>
      <c r="G2080">
        <v>310</v>
      </c>
      <c r="I2080" t="s">
        <v>179</v>
      </c>
      <c r="J2080" t="s">
        <v>887</v>
      </c>
      <c r="K2080" t="s">
        <v>180</v>
      </c>
      <c r="L2080">
        <v>200008536</v>
      </c>
    </row>
    <row r="2081" spans="3:12">
      <c r="C2081">
        <v>2100300025</v>
      </c>
      <c r="D2081">
        <v>6426000</v>
      </c>
      <c r="E2081" t="s">
        <v>188</v>
      </c>
      <c r="F2081">
        <v>5210010105</v>
      </c>
      <c r="G2081" s="13">
        <v>1734.47</v>
      </c>
      <c r="I2081" t="s">
        <v>179</v>
      </c>
      <c r="J2081" t="s">
        <v>808</v>
      </c>
      <c r="K2081" t="s">
        <v>180</v>
      </c>
      <c r="L2081">
        <v>200007614</v>
      </c>
    </row>
    <row r="2082" spans="3:12">
      <c r="C2082">
        <v>2100300025</v>
      </c>
      <c r="D2082">
        <v>6426000</v>
      </c>
      <c r="E2082" t="s">
        <v>188</v>
      </c>
      <c r="F2082">
        <v>5210010105</v>
      </c>
      <c r="G2082" s="13">
        <v>15836</v>
      </c>
      <c r="I2082" t="s">
        <v>179</v>
      </c>
      <c r="J2082" t="s">
        <v>808</v>
      </c>
      <c r="K2082" t="s">
        <v>180</v>
      </c>
      <c r="L2082">
        <v>200007615</v>
      </c>
    </row>
    <row r="2083" spans="3:12">
      <c r="C2083">
        <v>2100300025</v>
      </c>
      <c r="D2083">
        <v>6426000</v>
      </c>
      <c r="E2083" t="s">
        <v>188</v>
      </c>
      <c r="F2083">
        <v>5210010105</v>
      </c>
      <c r="G2083" s="13">
        <v>60000</v>
      </c>
      <c r="I2083" t="s">
        <v>179</v>
      </c>
      <c r="J2083" t="s">
        <v>808</v>
      </c>
      <c r="K2083" t="s">
        <v>180</v>
      </c>
      <c r="L2083">
        <v>200007174</v>
      </c>
    </row>
    <row r="2084" spans="3:12">
      <c r="C2084">
        <v>2100300025</v>
      </c>
      <c r="D2084">
        <v>6426000</v>
      </c>
      <c r="E2084" t="s">
        <v>188</v>
      </c>
      <c r="F2084">
        <v>5210010105</v>
      </c>
      <c r="G2084" s="13">
        <v>3350</v>
      </c>
      <c r="I2084" t="s">
        <v>179</v>
      </c>
      <c r="J2084" t="s">
        <v>889</v>
      </c>
      <c r="K2084" t="s">
        <v>180</v>
      </c>
      <c r="L2084">
        <v>200010410</v>
      </c>
    </row>
    <row r="2085" spans="3:12">
      <c r="C2085">
        <v>2100300025</v>
      </c>
      <c r="D2085">
        <v>6426000</v>
      </c>
      <c r="E2085" t="s">
        <v>188</v>
      </c>
      <c r="F2085">
        <v>5210010105</v>
      </c>
      <c r="G2085" s="13">
        <v>33358</v>
      </c>
      <c r="I2085" t="s">
        <v>179</v>
      </c>
      <c r="J2085" t="s">
        <v>889</v>
      </c>
      <c r="K2085" t="s">
        <v>180</v>
      </c>
      <c r="L2085">
        <v>200010411</v>
      </c>
    </row>
    <row r="2086" spans="3:12">
      <c r="C2086">
        <v>2100300025</v>
      </c>
      <c r="D2086">
        <v>6426000</v>
      </c>
      <c r="E2086" t="s">
        <v>188</v>
      </c>
      <c r="F2086">
        <v>5210010105</v>
      </c>
      <c r="G2086" s="13">
        <v>177500</v>
      </c>
      <c r="I2086" t="s">
        <v>179</v>
      </c>
      <c r="J2086" t="s">
        <v>890</v>
      </c>
      <c r="K2086" t="s">
        <v>180</v>
      </c>
      <c r="L2086">
        <v>200009961</v>
      </c>
    </row>
    <row r="2087" spans="3:12">
      <c r="C2087">
        <v>2100300025</v>
      </c>
      <c r="D2087">
        <v>6426000</v>
      </c>
      <c r="E2087" t="s">
        <v>188</v>
      </c>
      <c r="F2087">
        <v>5210010105</v>
      </c>
      <c r="G2087" s="13">
        <v>107400</v>
      </c>
      <c r="I2087" t="s">
        <v>179</v>
      </c>
      <c r="J2087" t="s">
        <v>890</v>
      </c>
      <c r="K2087" t="s">
        <v>180</v>
      </c>
      <c r="L2087">
        <v>200010255</v>
      </c>
    </row>
    <row r="2088" spans="3:12">
      <c r="C2088">
        <v>2100300025</v>
      </c>
      <c r="D2088">
        <v>6426000</v>
      </c>
      <c r="E2088" t="s">
        <v>188</v>
      </c>
      <c r="F2088">
        <v>5210010105</v>
      </c>
      <c r="G2088" s="13">
        <v>1920</v>
      </c>
      <c r="I2088" t="s">
        <v>179</v>
      </c>
      <c r="J2088" t="s">
        <v>890</v>
      </c>
      <c r="K2088" t="s">
        <v>180</v>
      </c>
      <c r="L2088">
        <v>200010331</v>
      </c>
    </row>
    <row r="2089" spans="3:12">
      <c r="C2089">
        <v>2100300025</v>
      </c>
      <c r="D2089">
        <v>6426000</v>
      </c>
      <c r="E2089" t="s">
        <v>188</v>
      </c>
      <c r="F2089">
        <v>5210010105</v>
      </c>
      <c r="G2089">
        <v>350</v>
      </c>
      <c r="I2089" t="s">
        <v>179</v>
      </c>
      <c r="J2089" t="s">
        <v>890</v>
      </c>
      <c r="K2089" t="s">
        <v>180</v>
      </c>
      <c r="L2089">
        <v>200010260</v>
      </c>
    </row>
    <row r="2090" spans="3:12">
      <c r="C2090">
        <v>2100300025</v>
      </c>
      <c r="D2090">
        <v>6426000</v>
      </c>
      <c r="E2090" t="s">
        <v>188</v>
      </c>
      <c r="F2090">
        <v>5210010105</v>
      </c>
      <c r="G2090" s="13">
        <v>2320</v>
      </c>
      <c r="I2090" t="s">
        <v>179</v>
      </c>
      <c r="J2090" t="s">
        <v>890</v>
      </c>
      <c r="K2090" t="s">
        <v>180</v>
      </c>
      <c r="L2090">
        <v>200010409</v>
      </c>
    </row>
    <row r="2091" spans="3:12">
      <c r="C2091">
        <v>2100300025</v>
      </c>
      <c r="D2091">
        <v>6426000</v>
      </c>
      <c r="E2091" t="s">
        <v>188</v>
      </c>
      <c r="F2091">
        <v>5210010105</v>
      </c>
      <c r="G2091" s="13">
        <v>32000</v>
      </c>
      <c r="I2091" t="s">
        <v>179</v>
      </c>
      <c r="J2091" t="s">
        <v>891</v>
      </c>
      <c r="K2091" t="s">
        <v>180</v>
      </c>
      <c r="L2091">
        <v>200012724</v>
      </c>
    </row>
    <row r="2092" spans="3:12">
      <c r="C2092">
        <v>2100300025</v>
      </c>
      <c r="D2092">
        <v>6426000</v>
      </c>
      <c r="E2092" t="s">
        <v>188</v>
      </c>
      <c r="F2092">
        <v>5210010105</v>
      </c>
      <c r="G2092" s="13">
        <v>10000</v>
      </c>
      <c r="I2092" t="s">
        <v>179</v>
      </c>
      <c r="J2092" t="s">
        <v>891</v>
      </c>
      <c r="K2092" t="s">
        <v>180</v>
      </c>
      <c r="L2092">
        <v>200012622</v>
      </c>
    </row>
    <row r="2093" spans="3:12">
      <c r="C2093">
        <v>2100300025</v>
      </c>
      <c r="D2093">
        <v>6426000</v>
      </c>
      <c r="E2093" t="s">
        <v>188</v>
      </c>
      <c r="F2093">
        <v>5210010105</v>
      </c>
      <c r="G2093" s="13">
        <v>13000</v>
      </c>
      <c r="I2093" t="s">
        <v>179</v>
      </c>
      <c r="J2093" t="s">
        <v>891</v>
      </c>
      <c r="K2093" t="s">
        <v>180</v>
      </c>
      <c r="L2093">
        <v>200012623</v>
      </c>
    </row>
    <row r="2094" spans="3:12">
      <c r="C2094">
        <v>2100300025</v>
      </c>
      <c r="D2094">
        <v>6426000</v>
      </c>
      <c r="E2094" t="s">
        <v>188</v>
      </c>
      <c r="F2094">
        <v>5210010105</v>
      </c>
      <c r="G2094" s="13">
        <v>25820</v>
      </c>
      <c r="I2094" t="s">
        <v>179</v>
      </c>
      <c r="J2094" t="s">
        <v>891</v>
      </c>
      <c r="K2094" t="s">
        <v>180</v>
      </c>
      <c r="L2094">
        <v>200012625</v>
      </c>
    </row>
    <row r="2095" spans="3:12">
      <c r="C2095">
        <v>2100300025</v>
      </c>
      <c r="D2095">
        <v>6426000</v>
      </c>
      <c r="E2095" t="s">
        <v>188</v>
      </c>
      <c r="F2095">
        <v>5210010105</v>
      </c>
      <c r="G2095" s="13">
        <v>-4800</v>
      </c>
      <c r="I2095" t="s">
        <v>179</v>
      </c>
      <c r="J2095" t="s">
        <v>899</v>
      </c>
      <c r="K2095" t="s">
        <v>180</v>
      </c>
      <c r="L2095">
        <v>200001713</v>
      </c>
    </row>
    <row r="2096" spans="3:12">
      <c r="C2096">
        <v>2100300025</v>
      </c>
      <c r="D2096">
        <v>6426000</v>
      </c>
      <c r="E2096" t="s">
        <v>188</v>
      </c>
      <c r="F2096">
        <v>5210010105</v>
      </c>
      <c r="G2096" s="13">
        <v>56570</v>
      </c>
      <c r="I2096" t="s">
        <v>179</v>
      </c>
      <c r="J2096" t="s">
        <v>892</v>
      </c>
      <c r="K2096" t="s">
        <v>180</v>
      </c>
      <c r="L2096">
        <v>200014615</v>
      </c>
    </row>
    <row r="2097" spans="3:12">
      <c r="C2097">
        <v>2100300025</v>
      </c>
      <c r="D2097">
        <v>6426000</v>
      </c>
      <c r="E2097" t="s">
        <v>188</v>
      </c>
      <c r="F2097">
        <v>5210010105</v>
      </c>
      <c r="G2097" s="13">
        <v>2250</v>
      </c>
      <c r="I2097" t="s">
        <v>179</v>
      </c>
      <c r="J2097" t="s">
        <v>892</v>
      </c>
      <c r="K2097" t="s">
        <v>180</v>
      </c>
      <c r="L2097">
        <v>200014793</v>
      </c>
    </row>
    <row r="2098" spans="3:12">
      <c r="C2098">
        <v>2100300025</v>
      </c>
      <c r="D2098">
        <v>6426000</v>
      </c>
      <c r="E2098" t="s">
        <v>188</v>
      </c>
      <c r="F2098">
        <v>5210010105</v>
      </c>
      <c r="G2098" s="13">
        <v>2065</v>
      </c>
      <c r="I2098" t="s">
        <v>179</v>
      </c>
      <c r="J2098" t="s">
        <v>892</v>
      </c>
      <c r="K2098" t="s">
        <v>180</v>
      </c>
      <c r="L2098">
        <v>200014796</v>
      </c>
    </row>
    <row r="2099" spans="3:12">
      <c r="C2099">
        <v>2100300025</v>
      </c>
      <c r="D2099">
        <v>6426000</v>
      </c>
      <c r="E2099" t="s">
        <v>188</v>
      </c>
      <c r="F2099">
        <v>5210010105</v>
      </c>
      <c r="G2099" s="13">
        <v>2795</v>
      </c>
      <c r="I2099" t="s">
        <v>179</v>
      </c>
      <c r="J2099" t="s">
        <v>892</v>
      </c>
      <c r="K2099" t="s">
        <v>180</v>
      </c>
      <c r="L2099">
        <v>200001236</v>
      </c>
    </row>
    <row r="2100" spans="3:12">
      <c r="C2100">
        <v>2100300025</v>
      </c>
      <c r="D2100">
        <v>6426000</v>
      </c>
      <c r="E2100" t="s">
        <v>188</v>
      </c>
      <c r="F2100">
        <v>5210010105</v>
      </c>
      <c r="G2100" s="13">
        <v>2052</v>
      </c>
      <c r="I2100" t="s">
        <v>179</v>
      </c>
      <c r="J2100" t="s">
        <v>892</v>
      </c>
      <c r="K2100" t="s">
        <v>180</v>
      </c>
      <c r="L2100">
        <v>200015029</v>
      </c>
    </row>
    <row r="2101" spans="3:12">
      <c r="C2101">
        <v>2100300025</v>
      </c>
      <c r="D2101">
        <v>6426000</v>
      </c>
      <c r="E2101" t="s">
        <v>188</v>
      </c>
      <c r="F2101">
        <v>5210010105</v>
      </c>
      <c r="G2101" s="13">
        <v>22470</v>
      </c>
      <c r="I2101" t="s">
        <v>179</v>
      </c>
      <c r="J2101" t="s">
        <v>893</v>
      </c>
      <c r="K2101" t="s">
        <v>180</v>
      </c>
      <c r="L2101">
        <v>200020788</v>
      </c>
    </row>
    <row r="2102" spans="3:12">
      <c r="C2102">
        <v>2100300025</v>
      </c>
      <c r="D2102">
        <v>6426000</v>
      </c>
      <c r="E2102" t="s">
        <v>188</v>
      </c>
      <c r="F2102">
        <v>5210010105</v>
      </c>
      <c r="G2102" s="13">
        <v>10165</v>
      </c>
      <c r="I2102" t="s">
        <v>179</v>
      </c>
      <c r="J2102" t="s">
        <v>871</v>
      </c>
      <c r="K2102" t="s">
        <v>180</v>
      </c>
      <c r="L2102">
        <v>200023859</v>
      </c>
    </row>
    <row r="2103" spans="3:12">
      <c r="C2103">
        <v>2100300025</v>
      </c>
      <c r="D2103">
        <v>6426000</v>
      </c>
      <c r="E2103" t="s">
        <v>188</v>
      </c>
      <c r="F2103">
        <v>5210010105</v>
      </c>
      <c r="G2103" s="13">
        <v>114000</v>
      </c>
      <c r="I2103" t="s">
        <v>179</v>
      </c>
      <c r="J2103" t="s">
        <v>871</v>
      </c>
      <c r="K2103" t="s">
        <v>180</v>
      </c>
      <c r="L2103">
        <v>200022869</v>
      </c>
    </row>
    <row r="2104" spans="3:12">
      <c r="C2104">
        <v>2100300025</v>
      </c>
      <c r="D2104">
        <v>6426000</v>
      </c>
      <c r="E2104" t="s">
        <v>188</v>
      </c>
      <c r="F2104">
        <v>5210010105</v>
      </c>
      <c r="G2104" s="13">
        <v>7440</v>
      </c>
      <c r="I2104" t="s">
        <v>179</v>
      </c>
      <c r="J2104" t="s">
        <v>871</v>
      </c>
      <c r="K2104" t="s">
        <v>180</v>
      </c>
      <c r="L2104">
        <v>200024217</v>
      </c>
    </row>
    <row r="2105" spans="3:12">
      <c r="C2105">
        <v>2100300025</v>
      </c>
      <c r="D2105">
        <v>6426000</v>
      </c>
      <c r="E2105" t="s">
        <v>188</v>
      </c>
      <c r="F2105">
        <v>5210010105</v>
      </c>
      <c r="G2105" s="13">
        <v>46224</v>
      </c>
      <c r="I2105" t="s">
        <v>179</v>
      </c>
      <c r="J2105" t="s">
        <v>871</v>
      </c>
      <c r="K2105" t="s">
        <v>180</v>
      </c>
      <c r="L2105">
        <v>200024219</v>
      </c>
    </row>
    <row r="2106" spans="3:12">
      <c r="C2106">
        <v>2100300025</v>
      </c>
      <c r="D2106">
        <v>6426000</v>
      </c>
      <c r="E2106" t="s">
        <v>188</v>
      </c>
      <c r="F2106">
        <v>5210010105</v>
      </c>
      <c r="G2106" s="13">
        <v>21820</v>
      </c>
      <c r="I2106" t="s">
        <v>179</v>
      </c>
      <c r="J2106" t="s">
        <v>871</v>
      </c>
      <c r="K2106" t="s">
        <v>180</v>
      </c>
      <c r="L2106">
        <v>200024312</v>
      </c>
    </row>
    <row r="2107" spans="3:12">
      <c r="C2107">
        <v>2100300025</v>
      </c>
      <c r="D2107">
        <v>6426000</v>
      </c>
      <c r="E2107" t="s">
        <v>188</v>
      </c>
      <c r="F2107">
        <v>5210010105</v>
      </c>
      <c r="G2107">
        <v>480</v>
      </c>
      <c r="I2107" t="s">
        <v>179</v>
      </c>
      <c r="J2107" t="s">
        <v>894</v>
      </c>
      <c r="K2107" t="s">
        <v>180</v>
      </c>
      <c r="L2107">
        <v>200020657</v>
      </c>
    </row>
    <row r="2108" spans="3:12">
      <c r="C2108">
        <v>2100300025</v>
      </c>
      <c r="D2108">
        <v>6426000</v>
      </c>
      <c r="E2108" t="s">
        <v>188</v>
      </c>
      <c r="F2108">
        <v>5210010105</v>
      </c>
      <c r="G2108" s="13">
        <v>151300</v>
      </c>
      <c r="I2108" t="s">
        <v>179</v>
      </c>
      <c r="J2108" t="s">
        <v>897</v>
      </c>
      <c r="K2108" t="s">
        <v>180</v>
      </c>
      <c r="L2108">
        <v>200015447</v>
      </c>
    </row>
    <row r="2109" spans="3:12">
      <c r="C2109">
        <v>2100300025</v>
      </c>
      <c r="D2109">
        <v>6426000</v>
      </c>
      <c r="E2109" t="s">
        <v>188</v>
      </c>
      <c r="F2109">
        <v>5210010105</v>
      </c>
      <c r="G2109" s="13">
        <v>29053</v>
      </c>
      <c r="I2109" t="s">
        <v>179</v>
      </c>
      <c r="J2109" t="s">
        <v>898</v>
      </c>
      <c r="K2109" t="s">
        <v>180</v>
      </c>
      <c r="L2109">
        <v>200023180</v>
      </c>
    </row>
    <row r="2110" spans="3:12">
      <c r="C2110">
        <v>2100300025</v>
      </c>
      <c r="D2110">
        <v>6426000</v>
      </c>
      <c r="E2110" t="s">
        <v>188</v>
      </c>
      <c r="F2110">
        <v>5210010105</v>
      </c>
      <c r="G2110" s="13">
        <v>43000</v>
      </c>
      <c r="I2110" t="s">
        <v>179</v>
      </c>
      <c r="J2110" t="s">
        <v>898</v>
      </c>
      <c r="K2110" t="s">
        <v>180</v>
      </c>
      <c r="L2110">
        <v>200023181</v>
      </c>
    </row>
    <row r="2111" spans="3:12">
      <c r="C2111">
        <v>2100300025</v>
      </c>
      <c r="D2111">
        <v>6426000</v>
      </c>
      <c r="E2111" t="s">
        <v>188</v>
      </c>
      <c r="F2111">
        <v>5210010105</v>
      </c>
      <c r="G2111" s="13">
        <v>9800</v>
      </c>
      <c r="I2111" t="s">
        <v>179</v>
      </c>
      <c r="J2111" t="s">
        <v>898</v>
      </c>
      <c r="K2111" t="s">
        <v>180</v>
      </c>
      <c r="L2111">
        <v>200023182</v>
      </c>
    </row>
    <row r="2112" spans="3:12">
      <c r="C2112">
        <v>2100300025</v>
      </c>
      <c r="D2112">
        <v>6426000</v>
      </c>
      <c r="E2112" t="s">
        <v>188</v>
      </c>
      <c r="F2112">
        <v>5210010105</v>
      </c>
      <c r="G2112" s="13">
        <v>45750</v>
      </c>
      <c r="I2112" t="s">
        <v>179</v>
      </c>
      <c r="J2112" t="s">
        <v>814</v>
      </c>
      <c r="K2112" t="s">
        <v>180</v>
      </c>
      <c r="L2112">
        <v>200014646</v>
      </c>
    </row>
    <row r="2113" spans="3:12">
      <c r="C2113">
        <v>2100300025</v>
      </c>
      <c r="D2113">
        <v>6426000</v>
      </c>
      <c r="E2113" t="s">
        <v>188</v>
      </c>
      <c r="F2113">
        <v>5210010105</v>
      </c>
      <c r="G2113">
        <v>600</v>
      </c>
      <c r="I2113" t="s">
        <v>179</v>
      </c>
      <c r="J2113" t="s">
        <v>814</v>
      </c>
      <c r="K2113" t="s">
        <v>180</v>
      </c>
      <c r="L2113">
        <v>200014647</v>
      </c>
    </row>
    <row r="2114" spans="3:12">
      <c r="C2114">
        <v>2100300025</v>
      </c>
      <c r="D2114">
        <v>6426000</v>
      </c>
      <c r="E2114" t="s">
        <v>188</v>
      </c>
      <c r="F2114">
        <v>5210010105</v>
      </c>
      <c r="G2114">
        <v>585</v>
      </c>
      <c r="I2114" t="s">
        <v>179</v>
      </c>
      <c r="J2114" t="s">
        <v>814</v>
      </c>
      <c r="K2114" t="s">
        <v>180</v>
      </c>
      <c r="L2114">
        <v>200001240</v>
      </c>
    </row>
    <row r="2115" spans="3:12">
      <c r="C2115">
        <v>2100300025</v>
      </c>
      <c r="D2115">
        <v>6426000</v>
      </c>
      <c r="E2115" t="s">
        <v>188</v>
      </c>
      <c r="F2115">
        <v>5210010105</v>
      </c>
      <c r="G2115" s="13">
        <v>18206</v>
      </c>
      <c r="I2115" t="s">
        <v>179</v>
      </c>
      <c r="J2115" t="s">
        <v>814</v>
      </c>
      <c r="K2115" t="s">
        <v>180</v>
      </c>
      <c r="L2115">
        <v>200001241</v>
      </c>
    </row>
    <row r="2116" spans="3:12">
      <c r="C2116">
        <v>2100300025</v>
      </c>
      <c r="D2116">
        <v>6426000</v>
      </c>
      <c r="E2116" t="s">
        <v>188</v>
      </c>
      <c r="F2116">
        <v>5210010105</v>
      </c>
      <c r="G2116" s="13">
        <v>1892.9</v>
      </c>
      <c r="I2116" t="s">
        <v>179</v>
      </c>
      <c r="J2116" t="s">
        <v>814</v>
      </c>
      <c r="K2116" t="s">
        <v>180</v>
      </c>
      <c r="L2116">
        <v>200001242</v>
      </c>
    </row>
    <row r="2117" spans="3:12">
      <c r="C2117">
        <v>2100300025</v>
      </c>
      <c r="D2117">
        <v>6426000</v>
      </c>
      <c r="E2117" t="s">
        <v>188</v>
      </c>
      <c r="F2117">
        <v>5210010105</v>
      </c>
      <c r="G2117" s="13">
        <v>3424</v>
      </c>
      <c r="I2117" t="s">
        <v>179</v>
      </c>
      <c r="J2117" t="s">
        <v>816</v>
      </c>
      <c r="K2117" t="s">
        <v>180</v>
      </c>
      <c r="L2117">
        <v>200022547</v>
      </c>
    </row>
    <row r="2118" spans="3:12">
      <c r="C2118">
        <v>2100300025</v>
      </c>
      <c r="D2118">
        <v>6426000</v>
      </c>
      <c r="E2118" t="s">
        <v>188</v>
      </c>
      <c r="F2118">
        <v>5210010105</v>
      </c>
      <c r="G2118">
        <v>100</v>
      </c>
      <c r="I2118" t="s">
        <v>179</v>
      </c>
      <c r="J2118" t="s">
        <v>816</v>
      </c>
      <c r="K2118" t="s">
        <v>180</v>
      </c>
      <c r="L2118">
        <v>200021846</v>
      </c>
    </row>
    <row r="2119" spans="3:12">
      <c r="C2119">
        <v>2100300025</v>
      </c>
      <c r="D2119">
        <v>6426000</v>
      </c>
      <c r="E2119" t="s">
        <v>188</v>
      </c>
      <c r="F2119">
        <v>5210010105</v>
      </c>
      <c r="G2119">
        <v>360</v>
      </c>
      <c r="I2119" t="s">
        <v>179</v>
      </c>
      <c r="J2119" t="s">
        <v>816</v>
      </c>
      <c r="K2119" t="s">
        <v>180</v>
      </c>
      <c r="L2119">
        <v>200021847</v>
      </c>
    </row>
    <row r="2120" spans="3:12">
      <c r="C2120">
        <v>2100300025</v>
      </c>
      <c r="D2120">
        <v>6426000</v>
      </c>
      <c r="E2120" t="s">
        <v>188</v>
      </c>
      <c r="F2120">
        <v>5210010105</v>
      </c>
      <c r="G2120">
        <v>920</v>
      </c>
      <c r="I2120" t="s">
        <v>179</v>
      </c>
      <c r="J2120" t="s">
        <v>816</v>
      </c>
      <c r="K2120" t="s">
        <v>180</v>
      </c>
      <c r="L2120">
        <v>200021848</v>
      </c>
    </row>
    <row r="2121" spans="3:12">
      <c r="C2121">
        <v>2100300025</v>
      </c>
      <c r="D2121">
        <v>6426000</v>
      </c>
      <c r="E2121" t="s">
        <v>188</v>
      </c>
      <c r="F2121">
        <v>5210010105</v>
      </c>
      <c r="G2121">
        <v>107</v>
      </c>
      <c r="I2121" t="s">
        <v>179</v>
      </c>
      <c r="J2121" t="s">
        <v>816</v>
      </c>
      <c r="K2121" t="s">
        <v>180</v>
      </c>
      <c r="L2121">
        <v>200021849</v>
      </c>
    </row>
    <row r="2122" spans="3:12">
      <c r="C2122">
        <v>2100300025</v>
      </c>
      <c r="D2122">
        <v>6426000</v>
      </c>
      <c r="E2122" t="s">
        <v>188</v>
      </c>
      <c r="F2122">
        <v>5210010105</v>
      </c>
      <c r="G2122">
        <v>480</v>
      </c>
      <c r="I2122" t="s">
        <v>179</v>
      </c>
      <c r="J2122" t="s">
        <v>816</v>
      </c>
      <c r="K2122" t="s">
        <v>180</v>
      </c>
      <c r="L2122">
        <v>200021850</v>
      </c>
    </row>
    <row r="2123" spans="3:12">
      <c r="C2123">
        <v>2100300025</v>
      </c>
      <c r="D2123">
        <v>6426000</v>
      </c>
      <c r="E2123" t="s">
        <v>188</v>
      </c>
      <c r="F2123">
        <v>5210010105</v>
      </c>
      <c r="G2123" s="13">
        <v>6634</v>
      </c>
      <c r="I2123" t="s">
        <v>179</v>
      </c>
      <c r="J2123" t="s">
        <v>816</v>
      </c>
      <c r="K2123" t="s">
        <v>180</v>
      </c>
      <c r="L2123">
        <v>200021851</v>
      </c>
    </row>
    <row r="2124" spans="3:12">
      <c r="C2124">
        <v>2100300025</v>
      </c>
      <c r="D2124">
        <v>6426000</v>
      </c>
      <c r="E2124" t="s">
        <v>188</v>
      </c>
      <c r="F2124">
        <v>5210010105</v>
      </c>
      <c r="G2124">
        <v>246.4</v>
      </c>
      <c r="I2124" t="s">
        <v>179</v>
      </c>
      <c r="J2124" t="s">
        <v>816</v>
      </c>
      <c r="K2124" t="s">
        <v>180</v>
      </c>
      <c r="L2124">
        <v>200021852</v>
      </c>
    </row>
    <row r="2125" spans="3:12">
      <c r="C2125">
        <v>2100300025</v>
      </c>
      <c r="D2125">
        <v>6426000</v>
      </c>
      <c r="E2125" t="s">
        <v>188</v>
      </c>
      <c r="F2125">
        <v>5210010105</v>
      </c>
      <c r="G2125">
        <v>588.5</v>
      </c>
      <c r="I2125" t="s">
        <v>179</v>
      </c>
      <c r="J2125" t="s">
        <v>816</v>
      </c>
      <c r="K2125" t="s">
        <v>180</v>
      </c>
      <c r="L2125">
        <v>200021853</v>
      </c>
    </row>
    <row r="2126" spans="3:12">
      <c r="C2126">
        <v>2100300025</v>
      </c>
      <c r="D2126">
        <v>6426000</v>
      </c>
      <c r="E2126" t="s">
        <v>188</v>
      </c>
      <c r="F2126">
        <v>5210010105</v>
      </c>
      <c r="G2126" s="13">
        <v>75418.710000000006</v>
      </c>
      <c r="I2126" t="s">
        <v>179</v>
      </c>
      <c r="J2126" t="s">
        <v>883</v>
      </c>
      <c r="K2126" t="s">
        <v>180</v>
      </c>
      <c r="L2126">
        <v>200006233</v>
      </c>
    </row>
    <row r="2127" spans="3:12">
      <c r="C2127">
        <v>2100300025</v>
      </c>
      <c r="D2127">
        <v>6426000</v>
      </c>
      <c r="E2127" t="s">
        <v>188</v>
      </c>
      <c r="F2127">
        <v>5210010105</v>
      </c>
      <c r="G2127">
        <v>240</v>
      </c>
      <c r="I2127" t="s">
        <v>179</v>
      </c>
      <c r="J2127" t="s">
        <v>889</v>
      </c>
      <c r="K2127" t="s">
        <v>180</v>
      </c>
      <c r="L2127">
        <v>200010412</v>
      </c>
    </row>
    <row r="2128" spans="3:12">
      <c r="C2128">
        <v>2100300025</v>
      </c>
      <c r="D2128">
        <v>6426000</v>
      </c>
      <c r="E2128" t="s">
        <v>188</v>
      </c>
      <c r="F2128">
        <v>5210010105</v>
      </c>
      <c r="G2128" s="13">
        <v>31520.080000000002</v>
      </c>
      <c r="I2128" t="s">
        <v>179</v>
      </c>
      <c r="J2128" t="s">
        <v>889</v>
      </c>
      <c r="K2128" t="s">
        <v>180</v>
      </c>
      <c r="L2128">
        <v>200010413</v>
      </c>
    </row>
    <row r="2129" spans="3:12">
      <c r="C2129">
        <v>2100300025</v>
      </c>
      <c r="D2129">
        <v>6426000</v>
      </c>
      <c r="E2129" t="s">
        <v>188</v>
      </c>
      <c r="F2129">
        <v>5210010105</v>
      </c>
      <c r="G2129" s="13">
        <v>82069</v>
      </c>
      <c r="I2129" t="s">
        <v>179</v>
      </c>
      <c r="J2129" t="s">
        <v>889</v>
      </c>
      <c r="K2129" t="s">
        <v>180</v>
      </c>
      <c r="L2129">
        <v>200010414</v>
      </c>
    </row>
    <row r="2130" spans="3:12">
      <c r="C2130">
        <v>2100300025</v>
      </c>
      <c r="D2130">
        <v>6426000</v>
      </c>
      <c r="E2130" t="s">
        <v>188</v>
      </c>
      <c r="F2130">
        <v>5210010105</v>
      </c>
      <c r="G2130">
        <v>720</v>
      </c>
      <c r="I2130" t="s">
        <v>179</v>
      </c>
      <c r="J2130" t="s">
        <v>892</v>
      </c>
      <c r="K2130" t="s">
        <v>180</v>
      </c>
      <c r="L2130">
        <v>200015308</v>
      </c>
    </row>
    <row r="2131" spans="3:12">
      <c r="C2131">
        <v>2100300025</v>
      </c>
      <c r="D2131">
        <v>6426000</v>
      </c>
      <c r="E2131" t="s">
        <v>188</v>
      </c>
      <c r="F2131">
        <v>5210010105</v>
      </c>
      <c r="G2131" s="13">
        <v>3290</v>
      </c>
      <c r="I2131" t="s">
        <v>179</v>
      </c>
      <c r="J2131" t="s">
        <v>892</v>
      </c>
      <c r="K2131" t="s">
        <v>180</v>
      </c>
      <c r="L2131">
        <v>200015309</v>
      </c>
    </row>
    <row r="2132" spans="3:12">
      <c r="C2132">
        <v>2100300025</v>
      </c>
      <c r="D2132">
        <v>6426000</v>
      </c>
      <c r="E2132" t="s">
        <v>188</v>
      </c>
      <c r="F2132">
        <v>5210010105</v>
      </c>
      <c r="G2132" s="13">
        <v>18540</v>
      </c>
      <c r="I2132" t="s">
        <v>179</v>
      </c>
      <c r="J2132" t="s">
        <v>892</v>
      </c>
      <c r="K2132" t="s">
        <v>180</v>
      </c>
      <c r="L2132">
        <v>200015310</v>
      </c>
    </row>
    <row r="2133" spans="3:12">
      <c r="C2133">
        <v>2100300025</v>
      </c>
      <c r="D2133">
        <v>6426000</v>
      </c>
      <c r="E2133" t="s">
        <v>188</v>
      </c>
      <c r="F2133">
        <v>5210010105</v>
      </c>
      <c r="G2133" s="13">
        <v>2252</v>
      </c>
      <c r="I2133" t="s">
        <v>179</v>
      </c>
      <c r="J2133" t="s">
        <v>894</v>
      </c>
      <c r="K2133" t="s">
        <v>180</v>
      </c>
      <c r="L2133">
        <v>200020658</v>
      </c>
    </row>
    <row r="2134" spans="3:12">
      <c r="C2134">
        <v>2100300025</v>
      </c>
      <c r="D2134">
        <v>6426000</v>
      </c>
      <c r="E2134" t="s">
        <v>188</v>
      </c>
      <c r="F2134">
        <v>5210010105</v>
      </c>
      <c r="G2134" s="13">
        <v>1450</v>
      </c>
      <c r="I2134" t="s">
        <v>179</v>
      </c>
      <c r="J2134" t="s">
        <v>814</v>
      </c>
      <c r="K2134" t="s">
        <v>180</v>
      </c>
      <c r="L2134">
        <v>200016402</v>
      </c>
    </row>
    <row r="2135" spans="3:12">
      <c r="C2135">
        <v>2100300025</v>
      </c>
      <c r="D2135">
        <v>6426000</v>
      </c>
      <c r="E2135" t="s">
        <v>188</v>
      </c>
      <c r="F2135">
        <v>5210010105</v>
      </c>
      <c r="G2135" s="13">
        <v>2635</v>
      </c>
      <c r="I2135" t="s">
        <v>179</v>
      </c>
      <c r="J2135" t="s">
        <v>899</v>
      </c>
      <c r="K2135" t="s">
        <v>180</v>
      </c>
      <c r="L2135">
        <v>200015413</v>
      </c>
    </row>
    <row r="2136" spans="3:12">
      <c r="C2136">
        <v>2100300025</v>
      </c>
      <c r="D2136">
        <v>6426000</v>
      </c>
      <c r="E2136" t="s">
        <v>188</v>
      </c>
      <c r="F2136">
        <v>5210010105</v>
      </c>
      <c r="G2136" s="13">
        <v>63334.61</v>
      </c>
      <c r="I2136" t="s">
        <v>179</v>
      </c>
      <c r="J2136" t="s">
        <v>899</v>
      </c>
      <c r="K2136" t="s">
        <v>180</v>
      </c>
      <c r="L2136">
        <v>200015548</v>
      </c>
    </row>
    <row r="2137" spans="3:12">
      <c r="C2137">
        <v>2100300025</v>
      </c>
      <c r="D2137">
        <v>6426000</v>
      </c>
      <c r="E2137" t="s">
        <v>188</v>
      </c>
      <c r="F2137">
        <v>5210010105</v>
      </c>
      <c r="G2137" s="13">
        <v>17416</v>
      </c>
      <c r="I2137" t="s">
        <v>179</v>
      </c>
      <c r="J2137" t="s">
        <v>899</v>
      </c>
      <c r="K2137" t="s">
        <v>180</v>
      </c>
      <c r="L2137">
        <v>200015707</v>
      </c>
    </row>
    <row r="2138" spans="3:12">
      <c r="C2138">
        <v>2100300025</v>
      </c>
      <c r="D2138">
        <v>6426000</v>
      </c>
      <c r="E2138" t="s">
        <v>188</v>
      </c>
      <c r="F2138">
        <v>5210010105</v>
      </c>
      <c r="G2138" s="13">
        <v>4800</v>
      </c>
      <c r="I2138" t="s">
        <v>179</v>
      </c>
      <c r="J2138" t="s">
        <v>899</v>
      </c>
      <c r="K2138" t="s">
        <v>180</v>
      </c>
      <c r="L2138">
        <v>200015549</v>
      </c>
    </row>
    <row r="2139" spans="3:12">
      <c r="C2139">
        <v>2100300025</v>
      </c>
      <c r="D2139">
        <v>6426000</v>
      </c>
      <c r="E2139" t="s">
        <v>188</v>
      </c>
      <c r="F2139">
        <v>5210010105</v>
      </c>
      <c r="G2139">
        <v>495</v>
      </c>
      <c r="I2139" t="s">
        <v>179</v>
      </c>
      <c r="J2139" t="s">
        <v>899</v>
      </c>
      <c r="K2139" t="s">
        <v>180</v>
      </c>
      <c r="L2139">
        <v>200015555</v>
      </c>
    </row>
    <row r="2140" spans="3:12">
      <c r="C2140">
        <v>2100300025</v>
      </c>
      <c r="D2140">
        <v>6426000</v>
      </c>
      <c r="E2140" t="s">
        <v>188</v>
      </c>
      <c r="F2140">
        <v>5210010105</v>
      </c>
      <c r="G2140" s="13">
        <v>2010</v>
      </c>
      <c r="I2140" t="s">
        <v>179</v>
      </c>
      <c r="J2140" t="s">
        <v>899</v>
      </c>
      <c r="K2140" t="s">
        <v>180</v>
      </c>
      <c r="L2140">
        <v>200015556</v>
      </c>
    </row>
    <row r="2141" spans="3:12">
      <c r="C2141">
        <v>2100300025</v>
      </c>
      <c r="D2141">
        <v>6426000</v>
      </c>
      <c r="E2141" t="s">
        <v>188</v>
      </c>
      <c r="F2141">
        <v>5210010105</v>
      </c>
      <c r="G2141" s="13">
        <v>22042</v>
      </c>
      <c r="I2141" t="s">
        <v>179</v>
      </c>
      <c r="J2141" t="s">
        <v>899</v>
      </c>
      <c r="K2141" t="s">
        <v>180</v>
      </c>
      <c r="L2141">
        <v>200015557</v>
      </c>
    </row>
    <row r="2142" spans="3:12">
      <c r="C2142">
        <v>2100300025</v>
      </c>
      <c r="D2142">
        <v>6426000</v>
      </c>
      <c r="E2142" t="s">
        <v>188</v>
      </c>
      <c r="F2142">
        <v>5210010105</v>
      </c>
      <c r="G2142" s="13">
        <v>26180</v>
      </c>
      <c r="I2142" t="s">
        <v>179</v>
      </c>
      <c r="J2142" t="s">
        <v>899</v>
      </c>
      <c r="K2142" t="s">
        <v>180</v>
      </c>
      <c r="L2142">
        <v>200015711</v>
      </c>
    </row>
    <row r="2143" spans="3:12">
      <c r="C2143">
        <v>2100300025</v>
      </c>
      <c r="D2143">
        <v>6426000</v>
      </c>
      <c r="E2143" t="s">
        <v>188</v>
      </c>
      <c r="F2143">
        <v>5210010105</v>
      </c>
      <c r="G2143" s="13">
        <v>4800</v>
      </c>
      <c r="I2143" t="s">
        <v>179</v>
      </c>
      <c r="J2143" t="s">
        <v>899</v>
      </c>
      <c r="K2143" t="s">
        <v>180</v>
      </c>
      <c r="L2143">
        <v>200000591</v>
      </c>
    </row>
    <row r="2144" spans="3:12">
      <c r="C2144">
        <v>2100300025</v>
      </c>
      <c r="D2144">
        <v>6426000</v>
      </c>
      <c r="E2144" t="s">
        <v>188</v>
      </c>
      <c r="F2144">
        <v>5210010105</v>
      </c>
      <c r="G2144" s="13">
        <v>1800</v>
      </c>
      <c r="I2144" t="s">
        <v>179</v>
      </c>
      <c r="J2144" t="s">
        <v>899</v>
      </c>
      <c r="K2144" t="s">
        <v>180</v>
      </c>
      <c r="L2144">
        <v>200015620</v>
      </c>
    </row>
    <row r="2145" spans="3:12">
      <c r="C2145">
        <v>2100300025</v>
      </c>
      <c r="D2145">
        <v>6426000</v>
      </c>
      <c r="E2145" t="s">
        <v>188</v>
      </c>
      <c r="F2145">
        <v>5210010105</v>
      </c>
      <c r="G2145" s="13">
        <v>11460</v>
      </c>
      <c r="I2145" t="s">
        <v>179</v>
      </c>
      <c r="J2145" t="s">
        <v>899</v>
      </c>
      <c r="K2145" t="s">
        <v>180</v>
      </c>
      <c r="L2145">
        <v>200015718</v>
      </c>
    </row>
    <row r="2146" spans="3:12">
      <c r="C2146">
        <v>2100300025</v>
      </c>
      <c r="D2146">
        <v>6426000</v>
      </c>
      <c r="E2146" t="s">
        <v>188</v>
      </c>
      <c r="F2146">
        <v>5210010105</v>
      </c>
      <c r="G2146">
        <v>600</v>
      </c>
      <c r="I2146" t="s">
        <v>179</v>
      </c>
      <c r="J2146" t="s">
        <v>899</v>
      </c>
      <c r="K2146" t="s">
        <v>180</v>
      </c>
      <c r="L2146">
        <v>200015588</v>
      </c>
    </row>
    <row r="2147" spans="3:12">
      <c r="C2147">
        <v>2100300025</v>
      </c>
      <c r="D2147">
        <v>6426000</v>
      </c>
      <c r="E2147" t="s">
        <v>188</v>
      </c>
      <c r="F2147">
        <v>5210010105</v>
      </c>
      <c r="G2147" s="13">
        <v>12840</v>
      </c>
      <c r="I2147" t="s">
        <v>179</v>
      </c>
      <c r="J2147" t="s">
        <v>900</v>
      </c>
      <c r="K2147" t="s">
        <v>180</v>
      </c>
      <c r="L2147">
        <v>200016363</v>
      </c>
    </row>
    <row r="2148" spans="3:12">
      <c r="C2148">
        <v>2100300025</v>
      </c>
      <c r="D2148">
        <v>6426000</v>
      </c>
      <c r="E2148" t="s">
        <v>188</v>
      </c>
      <c r="F2148">
        <v>5210010105</v>
      </c>
      <c r="G2148" s="13">
        <v>2675</v>
      </c>
      <c r="I2148" t="s">
        <v>179</v>
      </c>
      <c r="J2148" t="s">
        <v>900</v>
      </c>
      <c r="K2148" t="s">
        <v>180</v>
      </c>
      <c r="L2148">
        <v>200016364</v>
      </c>
    </row>
    <row r="2149" spans="3:12">
      <c r="C2149">
        <v>2100300025</v>
      </c>
      <c r="D2149">
        <v>6426000</v>
      </c>
      <c r="E2149" t="s">
        <v>188</v>
      </c>
      <c r="F2149">
        <v>5210010105</v>
      </c>
      <c r="G2149" s="13">
        <v>4000</v>
      </c>
      <c r="I2149" t="s">
        <v>179</v>
      </c>
      <c r="J2149" t="s">
        <v>900</v>
      </c>
      <c r="K2149" t="s">
        <v>180</v>
      </c>
      <c r="L2149">
        <v>200016426</v>
      </c>
    </row>
    <row r="2150" spans="3:12">
      <c r="C2150">
        <v>2100300025</v>
      </c>
      <c r="D2150">
        <v>6426000</v>
      </c>
      <c r="E2150" t="s">
        <v>188</v>
      </c>
      <c r="F2150">
        <v>5210010105</v>
      </c>
      <c r="G2150" s="13">
        <v>3800</v>
      </c>
      <c r="I2150" t="s">
        <v>179</v>
      </c>
      <c r="J2150" t="s">
        <v>900</v>
      </c>
      <c r="K2150" t="s">
        <v>180</v>
      </c>
      <c r="L2150">
        <v>200015762</v>
      </c>
    </row>
    <row r="2151" spans="3:12">
      <c r="C2151">
        <v>2100300025</v>
      </c>
      <c r="D2151">
        <v>6426000</v>
      </c>
      <c r="E2151" t="s">
        <v>188</v>
      </c>
      <c r="F2151">
        <v>5210010105</v>
      </c>
      <c r="G2151" s="13">
        <v>18000</v>
      </c>
      <c r="I2151" t="s">
        <v>179</v>
      </c>
      <c r="J2151" t="s">
        <v>899</v>
      </c>
      <c r="K2151" t="s">
        <v>180</v>
      </c>
      <c r="L2151">
        <v>200015353</v>
      </c>
    </row>
    <row r="2152" spans="3:12">
      <c r="C2152">
        <v>2100300025</v>
      </c>
      <c r="D2152">
        <v>6426000</v>
      </c>
      <c r="E2152" t="s">
        <v>188</v>
      </c>
      <c r="F2152">
        <v>5210010105</v>
      </c>
      <c r="G2152" s="13">
        <v>22800</v>
      </c>
      <c r="I2152" t="s">
        <v>179</v>
      </c>
      <c r="J2152" t="s">
        <v>900</v>
      </c>
      <c r="K2152" t="s">
        <v>180</v>
      </c>
      <c r="L2152">
        <v>200001032</v>
      </c>
    </row>
    <row r="2153" spans="3:12">
      <c r="C2153">
        <v>2100300025</v>
      </c>
      <c r="D2153">
        <v>6426000</v>
      </c>
      <c r="E2153" t="s">
        <v>188</v>
      </c>
      <c r="F2153">
        <v>5210010105</v>
      </c>
      <c r="G2153" s="13">
        <v>4580</v>
      </c>
      <c r="I2153" t="s">
        <v>179</v>
      </c>
      <c r="J2153" t="s">
        <v>900</v>
      </c>
      <c r="K2153" t="s">
        <v>180</v>
      </c>
      <c r="L2153">
        <v>200016418</v>
      </c>
    </row>
    <row r="2154" spans="3:12">
      <c r="C2154">
        <v>2100300025</v>
      </c>
      <c r="D2154">
        <v>6426000</v>
      </c>
      <c r="E2154" t="s">
        <v>188</v>
      </c>
      <c r="F2154">
        <v>5210010105</v>
      </c>
      <c r="G2154" s="13">
        <v>21000</v>
      </c>
      <c r="I2154" t="s">
        <v>179</v>
      </c>
      <c r="J2154" t="s">
        <v>900</v>
      </c>
      <c r="K2154" t="s">
        <v>180</v>
      </c>
      <c r="L2154">
        <v>200016421</v>
      </c>
    </row>
    <row r="2155" spans="3:12">
      <c r="C2155">
        <v>2100300025</v>
      </c>
      <c r="D2155">
        <v>6426000</v>
      </c>
      <c r="E2155" t="s">
        <v>188</v>
      </c>
      <c r="F2155">
        <v>5210010105</v>
      </c>
      <c r="G2155" s="13">
        <v>2130</v>
      </c>
      <c r="I2155" t="s">
        <v>179</v>
      </c>
      <c r="J2155" t="s">
        <v>900</v>
      </c>
      <c r="K2155" t="s">
        <v>180</v>
      </c>
      <c r="L2155">
        <v>200016422</v>
      </c>
    </row>
    <row r="2156" spans="3:12">
      <c r="C2156">
        <v>2100300025</v>
      </c>
      <c r="D2156">
        <v>6426000</v>
      </c>
      <c r="E2156" t="s">
        <v>188</v>
      </c>
      <c r="F2156">
        <v>5210010105</v>
      </c>
      <c r="G2156">
        <v>495</v>
      </c>
      <c r="I2156" t="s">
        <v>179</v>
      </c>
      <c r="J2156" t="s">
        <v>900</v>
      </c>
      <c r="K2156" t="s">
        <v>180</v>
      </c>
      <c r="L2156">
        <v>200016358</v>
      </c>
    </row>
    <row r="2157" spans="3:12">
      <c r="C2157">
        <v>2100300025</v>
      </c>
      <c r="D2157">
        <v>6426000</v>
      </c>
      <c r="E2157" t="s">
        <v>188</v>
      </c>
      <c r="F2157">
        <v>5210010105</v>
      </c>
      <c r="G2157">
        <v>920</v>
      </c>
      <c r="I2157" t="s">
        <v>179</v>
      </c>
      <c r="J2157" t="s">
        <v>900</v>
      </c>
      <c r="K2157" t="s">
        <v>180</v>
      </c>
      <c r="L2157">
        <v>200016359</v>
      </c>
    </row>
    <row r="2158" spans="3:12">
      <c r="C2158">
        <v>2100300025</v>
      </c>
      <c r="D2158">
        <v>6426000</v>
      </c>
      <c r="E2158" t="s">
        <v>188</v>
      </c>
      <c r="F2158">
        <v>5210010105</v>
      </c>
      <c r="G2158">
        <v>374.5</v>
      </c>
      <c r="I2158" t="s">
        <v>179</v>
      </c>
      <c r="J2158" t="s">
        <v>900</v>
      </c>
      <c r="K2158" t="s">
        <v>180</v>
      </c>
      <c r="L2158">
        <v>200016360</v>
      </c>
    </row>
    <row r="2159" spans="3:12">
      <c r="C2159">
        <v>2100300025</v>
      </c>
      <c r="D2159">
        <v>6426000</v>
      </c>
      <c r="E2159" t="s">
        <v>188</v>
      </c>
      <c r="F2159">
        <v>5210010105</v>
      </c>
      <c r="G2159">
        <v>551.04999999999995</v>
      </c>
      <c r="I2159" t="s">
        <v>179</v>
      </c>
      <c r="J2159" t="s">
        <v>901</v>
      </c>
      <c r="K2159" t="s">
        <v>180</v>
      </c>
      <c r="L2159">
        <v>200020833</v>
      </c>
    </row>
    <row r="2160" spans="3:12">
      <c r="C2160">
        <v>2100300025</v>
      </c>
      <c r="D2160">
        <v>6426000</v>
      </c>
      <c r="E2160" t="s">
        <v>188</v>
      </c>
      <c r="F2160">
        <v>5210010105</v>
      </c>
      <c r="G2160" s="13">
        <v>3900</v>
      </c>
      <c r="I2160" t="s">
        <v>179</v>
      </c>
      <c r="J2160" t="s">
        <v>901</v>
      </c>
      <c r="K2160" t="s">
        <v>180</v>
      </c>
      <c r="L2160">
        <v>200021810</v>
      </c>
    </row>
    <row r="2161" spans="3:12">
      <c r="C2161">
        <v>2100300025</v>
      </c>
      <c r="D2161">
        <v>6426000</v>
      </c>
      <c r="E2161" t="s">
        <v>188</v>
      </c>
      <c r="F2161">
        <v>5210010105</v>
      </c>
      <c r="G2161" s="13">
        <v>227698</v>
      </c>
      <c r="I2161" t="s">
        <v>179</v>
      </c>
      <c r="J2161" t="s">
        <v>901</v>
      </c>
      <c r="K2161" t="s">
        <v>180</v>
      </c>
      <c r="L2161">
        <v>200021770</v>
      </c>
    </row>
    <row r="2162" spans="3:12">
      <c r="C2162">
        <v>2100300025</v>
      </c>
      <c r="D2162">
        <v>6426000</v>
      </c>
      <c r="E2162" t="s">
        <v>188</v>
      </c>
      <c r="F2162">
        <v>5210010105</v>
      </c>
      <c r="G2162" s="13">
        <v>100226</v>
      </c>
      <c r="I2162" t="s">
        <v>179</v>
      </c>
      <c r="J2162" t="s">
        <v>901</v>
      </c>
      <c r="K2162" t="s">
        <v>180</v>
      </c>
      <c r="L2162">
        <v>200020476</v>
      </c>
    </row>
    <row r="2163" spans="3:12">
      <c r="C2163">
        <v>2100300025</v>
      </c>
      <c r="D2163">
        <v>6426000</v>
      </c>
      <c r="E2163" t="s">
        <v>188</v>
      </c>
      <c r="F2163">
        <v>5210010105</v>
      </c>
      <c r="G2163" s="13">
        <v>45797</v>
      </c>
      <c r="I2163" t="s">
        <v>179</v>
      </c>
      <c r="J2163" t="s">
        <v>901</v>
      </c>
      <c r="K2163" t="s">
        <v>180</v>
      </c>
      <c r="L2163">
        <v>200021675</v>
      </c>
    </row>
    <row r="2164" spans="3:12">
      <c r="C2164">
        <v>2100300025</v>
      </c>
      <c r="D2164">
        <v>6426000</v>
      </c>
      <c r="E2164" t="s">
        <v>188</v>
      </c>
      <c r="F2164">
        <v>5210010105</v>
      </c>
      <c r="G2164" s="13">
        <v>8700</v>
      </c>
      <c r="I2164" t="s">
        <v>179</v>
      </c>
      <c r="J2164" t="s">
        <v>901</v>
      </c>
      <c r="K2164" t="s">
        <v>180</v>
      </c>
      <c r="L2164">
        <v>200021800</v>
      </c>
    </row>
    <row r="2165" spans="3:12">
      <c r="C2165">
        <v>2100300025</v>
      </c>
      <c r="D2165">
        <v>6426000</v>
      </c>
      <c r="E2165" t="s">
        <v>188</v>
      </c>
      <c r="F2165">
        <v>5210010105</v>
      </c>
      <c r="G2165" s="13">
        <v>1685.25</v>
      </c>
      <c r="I2165" t="s">
        <v>179</v>
      </c>
      <c r="J2165" t="s">
        <v>818</v>
      </c>
      <c r="K2165" t="s">
        <v>180</v>
      </c>
      <c r="L2165">
        <v>200024434</v>
      </c>
    </row>
    <row r="2166" spans="3:12">
      <c r="C2166">
        <v>2100300025</v>
      </c>
      <c r="D2166">
        <v>6426000</v>
      </c>
      <c r="E2166" t="s">
        <v>188</v>
      </c>
      <c r="F2166">
        <v>5210010105</v>
      </c>
      <c r="G2166" s="13">
        <v>-11703.68</v>
      </c>
      <c r="I2166" t="s">
        <v>179</v>
      </c>
      <c r="J2166" t="s">
        <v>555</v>
      </c>
      <c r="K2166" t="s">
        <v>180</v>
      </c>
      <c r="L2166">
        <v>200029534</v>
      </c>
    </row>
    <row r="2167" spans="3:12">
      <c r="C2167">
        <v>2100300025</v>
      </c>
      <c r="D2167">
        <v>6426000</v>
      </c>
      <c r="E2167" t="s">
        <v>188</v>
      </c>
      <c r="F2167">
        <v>5210010105</v>
      </c>
      <c r="G2167" s="13">
        <v>-3740</v>
      </c>
      <c r="I2167" t="s">
        <v>179</v>
      </c>
      <c r="J2167" t="s">
        <v>822</v>
      </c>
      <c r="K2167" t="s">
        <v>180</v>
      </c>
      <c r="L2167">
        <v>200001899</v>
      </c>
    </row>
    <row r="2168" spans="3:12">
      <c r="C2168">
        <v>2100300025</v>
      </c>
      <c r="D2168">
        <v>6426000</v>
      </c>
      <c r="E2168" t="s">
        <v>188</v>
      </c>
      <c r="F2168">
        <v>5210010105</v>
      </c>
      <c r="G2168" s="13">
        <v>13781.6</v>
      </c>
      <c r="I2168" t="s">
        <v>179</v>
      </c>
      <c r="J2168" t="s">
        <v>902</v>
      </c>
      <c r="K2168" t="s">
        <v>180</v>
      </c>
      <c r="L2168">
        <v>200025980</v>
      </c>
    </row>
    <row r="2169" spans="3:12">
      <c r="C2169">
        <v>2100300025</v>
      </c>
      <c r="D2169">
        <v>6426000</v>
      </c>
      <c r="E2169" t="s">
        <v>188</v>
      </c>
      <c r="F2169">
        <v>5210010105</v>
      </c>
      <c r="G2169" s="13">
        <v>2240</v>
      </c>
      <c r="I2169" t="s">
        <v>179</v>
      </c>
      <c r="J2169" t="s">
        <v>902</v>
      </c>
      <c r="K2169" t="s">
        <v>180</v>
      </c>
      <c r="L2169">
        <v>200025982</v>
      </c>
    </row>
    <row r="2170" spans="3:12">
      <c r="C2170">
        <v>2100300025</v>
      </c>
      <c r="D2170">
        <v>6426000</v>
      </c>
      <c r="E2170" t="s">
        <v>188</v>
      </c>
      <c r="F2170">
        <v>5210010105</v>
      </c>
      <c r="G2170" s="13">
        <v>23436</v>
      </c>
      <c r="I2170" t="s">
        <v>179</v>
      </c>
      <c r="J2170" t="s">
        <v>882</v>
      </c>
      <c r="K2170" t="s">
        <v>180</v>
      </c>
      <c r="L2170">
        <v>200005508</v>
      </c>
    </row>
    <row r="2171" spans="3:12">
      <c r="C2171">
        <v>2100300025</v>
      </c>
      <c r="D2171">
        <v>6426000</v>
      </c>
      <c r="E2171" t="s">
        <v>188</v>
      </c>
      <c r="F2171">
        <v>5210010105</v>
      </c>
      <c r="G2171">
        <v>776</v>
      </c>
      <c r="I2171" t="s">
        <v>179</v>
      </c>
      <c r="J2171" t="s">
        <v>787</v>
      </c>
      <c r="K2171" t="s">
        <v>180</v>
      </c>
      <c r="L2171">
        <v>200005299</v>
      </c>
    </row>
    <row r="2172" spans="3:12">
      <c r="C2172">
        <v>2100300025</v>
      </c>
      <c r="D2172">
        <v>6426000</v>
      </c>
      <c r="E2172" t="s">
        <v>188</v>
      </c>
      <c r="F2172">
        <v>5210010105</v>
      </c>
      <c r="G2172">
        <v>760</v>
      </c>
      <c r="I2172" t="s">
        <v>179</v>
      </c>
      <c r="J2172" t="s">
        <v>787</v>
      </c>
      <c r="K2172" t="s">
        <v>180</v>
      </c>
      <c r="L2172">
        <v>200005300</v>
      </c>
    </row>
    <row r="2173" spans="3:12">
      <c r="C2173">
        <v>2100300025</v>
      </c>
      <c r="D2173">
        <v>6426000</v>
      </c>
      <c r="E2173" t="s">
        <v>188</v>
      </c>
      <c r="F2173">
        <v>5210010105</v>
      </c>
      <c r="G2173" s="13">
        <v>25795</v>
      </c>
      <c r="I2173" t="s">
        <v>179</v>
      </c>
      <c r="J2173" t="s">
        <v>810</v>
      </c>
      <c r="K2173" t="s">
        <v>180</v>
      </c>
      <c r="L2173">
        <v>200008608</v>
      </c>
    </row>
    <row r="2174" spans="3:12">
      <c r="C2174">
        <v>2100300025</v>
      </c>
      <c r="D2174">
        <v>6426000</v>
      </c>
      <c r="E2174" t="s">
        <v>188</v>
      </c>
      <c r="F2174">
        <v>5210010105</v>
      </c>
      <c r="G2174" s="13">
        <v>4807</v>
      </c>
      <c r="I2174" t="s">
        <v>179</v>
      </c>
      <c r="J2174" t="s">
        <v>883</v>
      </c>
      <c r="K2174" t="s">
        <v>180</v>
      </c>
      <c r="L2174">
        <v>200006495</v>
      </c>
    </row>
    <row r="2175" spans="3:12">
      <c r="C2175">
        <v>2100300025</v>
      </c>
      <c r="D2175">
        <v>6426000</v>
      </c>
      <c r="E2175" t="s">
        <v>188</v>
      </c>
      <c r="F2175">
        <v>5210010105</v>
      </c>
      <c r="G2175" s="13">
        <v>13202</v>
      </c>
      <c r="I2175" t="s">
        <v>179</v>
      </c>
      <c r="J2175" t="s">
        <v>883</v>
      </c>
      <c r="K2175" t="s">
        <v>180</v>
      </c>
      <c r="L2175">
        <v>200006496</v>
      </c>
    </row>
    <row r="2176" spans="3:12">
      <c r="C2176">
        <v>2100300025</v>
      </c>
      <c r="D2176">
        <v>6426000</v>
      </c>
      <c r="E2176" t="s">
        <v>188</v>
      </c>
      <c r="F2176">
        <v>5210010105</v>
      </c>
      <c r="G2176" s="13">
        <v>2030</v>
      </c>
      <c r="I2176" t="s">
        <v>179</v>
      </c>
      <c r="J2176" t="s">
        <v>885</v>
      </c>
      <c r="K2176" t="s">
        <v>180</v>
      </c>
      <c r="L2176">
        <v>200011295</v>
      </c>
    </row>
    <row r="2177" spans="3:12">
      <c r="C2177">
        <v>2100300025</v>
      </c>
      <c r="D2177">
        <v>6426000</v>
      </c>
      <c r="E2177" t="s">
        <v>188</v>
      </c>
      <c r="F2177">
        <v>5210010105</v>
      </c>
      <c r="G2177" s="13">
        <v>4280</v>
      </c>
      <c r="I2177" t="s">
        <v>179</v>
      </c>
      <c r="J2177" t="s">
        <v>885</v>
      </c>
      <c r="K2177" t="s">
        <v>180</v>
      </c>
      <c r="L2177">
        <v>200011906</v>
      </c>
    </row>
    <row r="2178" spans="3:12">
      <c r="C2178">
        <v>2100300025</v>
      </c>
      <c r="D2178">
        <v>6426000</v>
      </c>
      <c r="E2178" t="s">
        <v>188</v>
      </c>
      <c r="F2178">
        <v>5210010105</v>
      </c>
      <c r="G2178" s="13">
        <v>25800</v>
      </c>
      <c r="I2178" t="s">
        <v>179</v>
      </c>
      <c r="J2178" t="s">
        <v>885</v>
      </c>
      <c r="K2178" t="s">
        <v>180</v>
      </c>
      <c r="L2178">
        <v>200011907</v>
      </c>
    </row>
    <row r="2179" spans="3:12">
      <c r="C2179">
        <v>2100300025</v>
      </c>
      <c r="D2179">
        <v>6426000</v>
      </c>
      <c r="E2179" t="s">
        <v>188</v>
      </c>
      <c r="F2179">
        <v>5210010105</v>
      </c>
      <c r="G2179" s="13">
        <v>10000</v>
      </c>
      <c r="I2179" t="s">
        <v>179</v>
      </c>
      <c r="J2179" t="s">
        <v>885</v>
      </c>
      <c r="K2179" t="s">
        <v>180</v>
      </c>
      <c r="L2179">
        <v>200011296</v>
      </c>
    </row>
    <row r="2180" spans="3:12">
      <c r="C2180">
        <v>2100300025</v>
      </c>
      <c r="D2180">
        <v>6426000</v>
      </c>
      <c r="E2180" t="s">
        <v>188</v>
      </c>
      <c r="F2180">
        <v>5210010105</v>
      </c>
      <c r="G2180" s="13">
        <v>112350</v>
      </c>
      <c r="I2180" t="s">
        <v>179</v>
      </c>
      <c r="J2180" t="s">
        <v>885</v>
      </c>
      <c r="K2180" t="s">
        <v>180</v>
      </c>
      <c r="L2180">
        <v>200011908</v>
      </c>
    </row>
    <row r="2181" spans="3:12">
      <c r="C2181">
        <v>2100300025</v>
      </c>
      <c r="D2181">
        <v>6426000</v>
      </c>
      <c r="E2181" t="s">
        <v>188</v>
      </c>
      <c r="F2181">
        <v>5210010105</v>
      </c>
      <c r="G2181" s="13">
        <v>33000</v>
      </c>
      <c r="I2181" t="s">
        <v>179</v>
      </c>
      <c r="J2181" t="s">
        <v>885</v>
      </c>
      <c r="K2181" t="s">
        <v>180</v>
      </c>
      <c r="L2181">
        <v>200011909</v>
      </c>
    </row>
    <row r="2182" spans="3:12">
      <c r="C2182">
        <v>2100300025</v>
      </c>
      <c r="D2182">
        <v>6426000</v>
      </c>
      <c r="E2182" t="s">
        <v>188</v>
      </c>
      <c r="F2182">
        <v>5210010105</v>
      </c>
      <c r="G2182" s="13">
        <v>133250</v>
      </c>
      <c r="I2182" t="s">
        <v>179</v>
      </c>
      <c r="J2182" t="s">
        <v>885</v>
      </c>
      <c r="K2182" t="s">
        <v>180</v>
      </c>
      <c r="L2182">
        <v>200010469</v>
      </c>
    </row>
    <row r="2183" spans="3:12">
      <c r="C2183">
        <v>2100300025</v>
      </c>
      <c r="D2183">
        <v>6426000</v>
      </c>
      <c r="E2183" t="s">
        <v>188</v>
      </c>
      <c r="F2183">
        <v>5210010105</v>
      </c>
      <c r="G2183" s="13">
        <v>3840</v>
      </c>
      <c r="I2183" t="s">
        <v>179</v>
      </c>
      <c r="J2183" t="s">
        <v>886</v>
      </c>
      <c r="K2183" t="s">
        <v>180</v>
      </c>
      <c r="L2183">
        <v>200007760</v>
      </c>
    </row>
    <row r="2184" spans="3:12">
      <c r="C2184">
        <v>2100300025</v>
      </c>
      <c r="D2184">
        <v>6426000</v>
      </c>
      <c r="E2184" t="s">
        <v>188</v>
      </c>
      <c r="F2184">
        <v>5210010105</v>
      </c>
      <c r="G2184" s="13">
        <v>3295.6</v>
      </c>
      <c r="I2184" t="s">
        <v>179</v>
      </c>
      <c r="J2184" t="s">
        <v>886</v>
      </c>
      <c r="K2184" t="s">
        <v>180</v>
      </c>
      <c r="L2184">
        <v>200007761</v>
      </c>
    </row>
    <row r="2185" spans="3:12">
      <c r="C2185">
        <v>2100300025</v>
      </c>
      <c r="D2185">
        <v>6426000</v>
      </c>
      <c r="E2185" t="s">
        <v>188</v>
      </c>
      <c r="F2185">
        <v>5210010105</v>
      </c>
      <c r="G2185" s="13">
        <v>3210000</v>
      </c>
      <c r="I2185" t="s">
        <v>179</v>
      </c>
      <c r="J2185" t="s">
        <v>888</v>
      </c>
      <c r="K2185" t="s">
        <v>180</v>
      </c>
      <c r="L2185">
        <v>200011515</v>
      </c>
    </row>
    <row r="2186" spans="3:12">
      <c r="C2186">
        <v>2100300025</v>
      </c>
      <c r="D2186">
        <v>6426000</v>
      </c>
      <c r="E2186" t="s">
        <v>188</v>
      </c>
      <c r="F2186">
        <v>5210010105</v>
      </c>
      <c r="G2186" s="13">
        <v>10247</v>
      </c>
      <c r="I2186" t="s">
        <v>179</v>
      </c>
      <c r="J2186" t="s">
        <v>808</v>
      </c>
      <c r="K2186" t="s">
        <v>180</v>
      </c>
      <c r="L2186">
        <v>200006946</v>
      </c>
    </row>
    <row r="2187" spans="3:12">
      <c r="C2187">
        <v>2100300025</v>
      </c>
      <c r="D2187">
        <v>6426000</v>
      </c>
      <c r="E2187" t="s">
        <v>188</v>
      </c>
      <c r="F2187">
        <v>5210010105</v>
      </c>
      <c r="G2187" s="13">
        <v>1500</v>
      </c>
      <c r="I2187" t="s">
        <v>179</v>
      </c>
      <c r="J2187" t="s">
        <v>808</v>
      </c>
      <c r="K2187" t="s">
        <v>180</v>
      </c>
      <c r="L2187">
        <v>200007607</v>
      </c>
    </row>
    <row r="2188" spans="3:12">
      <c r="C2188">
        <v>2100300025</v>
      </c>
      <c r="D2188">
        <v>6426000</v>
      </c>
      <c r="E2188" t="s">
        <v>188</v>
      </c>
      <c r="F2188">
        <v>5210010105</v>
      </c>
      <c r="G2188" s="13">
        <v>37500</v>
      </c>
      <c r="I2188" t="s">
        <v>179</v>
      </c>
      <c r="J2188" t="s">
        <v>808</v>
      </c>
      <c r="K2188" t="s">
        <v>180</v>
      </c>
      <c r="L2188">
        <v>200007173</v>
      </c>
    </row>
    <row r="2189" spans="3:12">
      <c r="C2189">
        <v>2100300025</v>
      </c>
      <c r="D2189">
        <v>6426000</v>
      </c>
      <c r="E2189" t="s">
        <v>188</v>
      </c>
      <c r="F2189">
        <v>5210010105</v>
      </c>
      <c r="G2189" s="13">
        <v>177500</v>
      </c>
      <c r="I2189" t="s">
        <v>179</v>
      </c>
      <c r="J2189" t="s">
        <v>808</v>
      </c>
      <c r="K2189" t="s">
        <v>180</v>
      </c>
      <c r="L2189">
        <v>200007176</v>
      </c>
    </row>
    <row r="2190" spans="3:12">
      <c r="C2190">
        <v>2100300025</v>
      </c>
      <c r="D2190">
        <v>6426000</v>
      </c>
      <c r="E2190" t="s">
        <v>188</v>
      </c>
      <c r="F2190">
        <v>5210010105</v>
      </c>
      <c r="G2190" s="13">
        <v>11420</v>
      </c>
      <c r="I2190" t="s">
        <v>179</v>
      </c>
      <c r="J2190" t="s">
        <v>889</v>
      </c>
      <c r="K2190" t="s">
        <v>180</v>
      </c>
      <c r="L2190">
        <v>200010383</v>
      </c>
    </row>
    <row r="2191" spans="3:12">
      <c r="C2191">
        <v>2100300025</v>
      </c>
      <c r="D2191">
        <v>6426000</v>
      </c>
      <c r="E2191" t="s">
        <v>188</v>
      </c>
      <c r="F2191">
        <v>5210010105</v>
      </c>
      <c r="G2191" s="13">
        <v>495000</v>
      </c>
      <c r="I2191" t="s">
        <v>179</v>
      </c>
      <c r="J2191" t="s">
        <v>890</v>
      </c>
      <c r="K2191" t="s">
        <v>180</v>
      </c>
      <c r="L2191">
        <v>200009750</v>
      </c>
    </row>
    <row r="2192" spans="3:12">
      <c r="C2192">
        <v>2100300025</v>
      </c>
      <c r="D2192">
        <v>6426000</v>
      </c>
      <c r="E2192" t="s">
        <v>188</v>
      </c>
      <c r="F2192">
        <v>5210010105</v>
      </c>
      <c r="G2192" s="13">
        <v>30000</v>
      </c>
      <c r="I2192" t="s">
        <v>179</v>
      </c>
      <c r="J2192" t="s">
        <v>890</v>
      </c>
      <c r="K2192" t="s">
        <v>180</v>
      </c>
      <c r="L2192">
        <v>200009958</v>
      </c>
    </row>
    <row r="2193" spans="3:12">
      <c r="C2193">
        <v>2100300025</v>
      </c>
      <c r="D2193">
        <v>6426000</v>
      </c>
      <c r="E2193" t="s">
        <v>188</v>
      </c>
      <c r="F2193">
        <v>5210010105</v>
      </c>
      <c r="G2193" s="13">
        <v>23100</v>
      </c>
      <c r="I2193" t="s">
        <v>179</v>
      </c>
      <c r="J2193" t="s">
        <v>890</v>
      </c>
      <c r="K2193" t="s">
        <v>180</v>
      </c>
      <c r="L2193">
        <v>200009959</v>
      </c>
    </row>
    <row r="2194" spans="3:12">
      <c r="C2194">
        <v>2100300025</v>
      </c>
      <c r="D2194">
        <v>6426000</v>
      </c>
      <c r="E2194" t="s">
        <v>188</v>
      </c>
      <c r="F2194">
        <v>5210010105</v>
      </c>
      <c r="G2194" s="13">
        <v>12900</v>
      </c>
      <c r="I2194" t="s">
        <v>179</v>
      </c>
      <c r="J2194" t="s">
        <v>890</v>
      </c>
      <c r="K2194" t="s">
        <v>180</v>
      </c>
      <c r="L2194">
        <v>200010251</v>
      </c>
    </row>
    <row r="2195" spans="3:12">
      <c r="C2195">
        <v>2100300025</v>
      </c>
      <c r="D2195">
        <v>6426000</v>
      </c>
      <c r="E2195" t="s">
        <v>188</v>
      </c>
      <c r="F2195">
        <v>5210010105</v>
      </c>
      <c r="G2195" s="13">
        <v>17250</v>
      </c>
      <c r="I2195" t="s">
        <v>179</v>
      </c>
      <c r="J2195" t="s">
        <v>890</v>
      </c>
      <c r="K2195" t="s">
        <v>180</v>
      </c>
      <c r="L2195">
        <v>200010314</v>
      </c>
    </row>
    <row r="2196" spans="3:12">
      <c r="C2196">
        <v>2100300025</v>
      </c>
      <c r="D2196">
        <v>6426000</v>
      </c>
      <c r="E2196" t="s">
        <v>188</v>
      </c>
      <c r="F2196">
        <v>5210010105</v>
      </c>
      <c r="G2196" s="13">
        <v>2200</v>
      </c>
      <c r="I2196" t="s">
        <v>179</v>
      </c>
      <c r="J2196" t="s">
        <v>890</v>
      </c>
      <c r="K2196" t="s">
        <v>180</v>
      </c>
      <c r="L2196">
        <v>200010256</v>
      </c>
    </row>
    <row r="2197" spans="3:12">
      <c r="C2197">
        <v>2100300025</v>
      </c>
      <c r="D2197">
        <v>6426000</v>
      </c>
      <c r="E2197" t="s">
        <v>188</v>
      </c>
      <c r="F2197">
        <v>5210010105</v>
      </c>
      <c r="G2197" s="13">
        <v>4560</v>
      </c>
      <c r="I2197" t="s">
        <v>179</v>
      </c>
      <c r="J2197" t="s">
        <v>890</v>
      </c>
      <c r="K2197" t="s">
        <v>180</v>
      </c>
      <c r="L2197">
        <v>200010257</v>
      </c>
    </row>
    <row r="2198" spans="3:12">
      <c r="C2198">
        <v>2100300025</v>
      </c>
      <c r="D2198">
        <v>6426000</v>
      </c>
      <c r="E2198" t="s">
        <v>188</v>
      </c>
      <c r="F2198">
        <v>5210010105</v>
      </c>
      <c r="G2198" s="13">
        <v>2354</v>
      </c>
      <c r="I2198" t="s">
        <v>179</v>
      </c>
      <c r="J2198" t="s">
        <v>890</v>
      </c>
      <c r="K2198" t="s">
        <v>180</v>
      </c>
      <c r="L2198">
        <v>200010334</v>
      </c>
    </row>
    <row r="2199" spans="3:12">
      <c r="C2199">
        <v>2100300025</v>
      </c>
      <c r="D2199">
        <v>6426000</v>
      </c>
      <c r="E2199" t="s">
        <v>188</v>
      </c>
      <c r="F2199">
        <v>5210010105</v>
      </c>
      <c r="G2199" s="13">
        <v>2701.9</v>
      </c>
      <c r="I2199" t="s">
        <v>179</v>
      </c>
      <c r="J2199" t="s">
        <v>890</v>
      </c>
      <c r="K2199" t="s">
        <v>180</v>
      </c>
      <c r="L2199">
        <v>200010335</v>
      </c>
    </row>
    <row r="2200" spans="3:12">
      <c r="C2200">
        <v>2100300025</v>
      </c>
      <c r="D2200">
        <v>6426000</v>
      </c>
      <c r="E2200" t="s">
        <v>188</v>
      </c>
      <c r="F2200">
        <v>5210010105</v>
      </c>
      <c r="G2200" s="13">
        <v>1800</v>
      </c>
      <c r="I2200" t="s">
        <v>179</v>
      </c>
      <c r="J2200" t="s">
        <v>890</v>
      </c>
      <c r="K2200" t="s">
        <v>180</v>
      </c>
      <c r="L2200">
        <v>200010336</v>
      </c>
    </row>
    <row r="2201" spans="3:12">
      <c r="C2201">
        <v>2100300025</v>
      </c>
      <c r="D2201">
        <v>6426000</v>
      </c>
      <c r="E2201" t="s">
        <v>188</v>
      </c>
      <c r="F2201">
        <v>5210010105</v>
      </c>
      <c r="G2201" s="13">
        <v>2800</v>
      </c>
      <c r="I2201" t="s">
        <v>179</v>
      </c>
      <c r="J2201" t="s">
        <v>890</v>
      </c>
      <c r="K2201" t="s">
        <v>180</v>
      </c>
      <c r="L2201">
        <v>200010259</v>
      </c>
    </row>
    <row r="2202" spans="3:12">
      <c r="C2202">
        <v>2100300025</v>
      </c>
      <c r="D2202">
        <v>6426000</v>
      </c>
      <c r="E2202" t="s">
        <v>188</v>
      </c>
      <c r="F2202">
        <v>5210010105</v>
      </c>
      <c r="G2202" s="13">
        <v>184889.58</v>
      </c>
      <c r="I2202" t="s">
        <v>179</v>
      </c>
      <c r="J2202" t="s">
        <v>891</v>
      </c>
      <c r="K2202" t="s">
        <v>180</v>
      </c>
      <c r="L2202">
        <v>200012732</v>
      </c>
    </row>
    <row r="2203" spans="3:12">
      <c r="C2203">
        <v>2100300025</v>
      </c>
      <c r="D2203">
        <v>6426000</v>
      </c>
      <c r="E2203" t="s">
        <v>188</v>
      </c>
      <c r="F2203">
        <v>5210010105</v>
      </c>
      <c r="G2203" s="13">
        <v>6300</v>
      </c>
      <c r="I2203" t="s">
        <v>179</v>
      </c>
      <c r="J2203" t="s">
        <v>891</v>
      </c>
      <c r="K2203" t="s">
        <v>180</v>
      </c>
      <c r="L2203">
        <v>200012527</v>
      </c>
    </row>
    <row r="2204" spans="3:12">
      <c r="C2204">
        <v>2100300025</v>
      </c>
      <c r="D2204">
        <v>6426000</v>
      </c>
      <c r="E2204" t="s">
        <v>188</v>
      </c>
      <c r="F2204">
        <v>5210010105</v>
      </c>
      <c r="G2204" s="13">
        <v>10500</v>
      </c>
      <c r="I2204" t="s">
        <v>179</v>
      </c>
      <c r="J2204" t="s">
        <v>891</v>
      </c>
      <c r="K2204" t="s">
        <v>180</v>
      </c>
      <c r="L2204">
        <v>200012635</v>
      </c>
    </row>
    <row r="2205" spans="3:12">
      <c r="C2205">
        <v>2100300025</v>
      </c>
      <c r="D2205">
        <v>6426000</v>
      </c>
      <c r="E2205" t="s">
        <v>188</v>
      </c>
      <c r="F2205">
        <v>5210010105</v>
      </c>
      <c r="G2205" s="13">
        <v>6099</v>
      </c>
      <c r="I2205" t="s">
        <v>179</v>
      </c>
      <c r="J2205" t="s">
        <v>891</v>
      </c>
      <c r="K2205" t="s">
        <v>180</v>
      </c>
      <c r="L2205">
        <v>200012415</v>
      </c>
    </row>
    <row r="2206" spans="3:12">
      <c r="C2206">
        <v>2100300025</v>
      </c>
      <c r="D2206">
        <v>6426000</v>
      </c>
      <c r="E2206" t="s">
        <v>188</v>
      </c>
      <c r="F2206">
        <v>5210010105</v>
      </c>
      <c r="G2206" s="13">
        <v>49220</v>
      </c>
      <c r="I2206" t="s">
        <v>179</v>
      </c>
      <c r="J2206" t="s">
        <v>891</v>
      </c>
      <c r="K2206" t="s">
        <v>180</v>
      </c>
      <c r="L2206">
        <v>200012416</v>
      </c>
    </row>
    <row r="2207" spans="3:12">
      <c r="C2207">
        <v>2100300025</v>
      </c>
      <c r="D2207">
        <v>6426000</v>
      </c>
      <c r="E2207" t="s">
        <v>188</v>
      </c>
      <c r="F2207">
        <v>5210010105</v>
      </c>
      <c r="G2207" s="13">
        <v>28087.5</v>
      </c>
      <c r="I2207" t="s">
        <v>179</v>
      </c>
      <c r="J2207" t="s">
        <v>891</v>
      </c>
      <c r="K2207" t="s">
        <v>180</v>
      </c>
      <c r="L2207">
        <v>200012417</v>
      </c>
    </row>
    <row r="2208" spans="3:12">
      <c r="C2208">
        <v>2100300025</v>
      </c>
      <c r="D2208">
        <v>6426000</v>
      </c>
      <c r="E2208" t="s">
        <v>188</v>
      </c>
      <c r="F2208">
        <v>5210010105</v>
      </c>
      <c r="G2208" s="13">
        <v>7918</v>
      </c>
      <c r="I2208" t="s">
        <v>179</v>
      </c>
      <c r="J2208" t="s">
        <v>891</v>
      </c>
      <c r="K2208" t="s">
        <v>180</v>
      </c>
      <c r="L2208">
        <v>200012418</v>
      </c>
    </row>
    <row r="2209" spans="3:12">
      <c r="C2209">
        <v>2100300025</v>
      </c>
      <c r="D2209">
        <v>6426000</v>
      </c>
      <c r="E2209" t="s">
        <v>188</v>
      </c>
      <c r="F2209">
        <v>5210010105</v>
      </c>
      <c r="G2209" s="13">
        <v>7821.7</v>
      </c>
      <c r="I2209" t="s">
        <v>179</v>
      </c>
      <c r="J2209" t="s">
        <v>891</v>
      </c>
      <c r="K2209" t="s">
        <v>180</v>
      </c>
      <c r="L2209">
        <v>200012419</v>
      </c>
    </row>
    <row r="2210" spans="3:12">
      <c r="C2210">
        <v>2100300025</v>
      </c>
      <c r="D2210">
        <v>6426000</v>
      </c>
      <c r="E2210" t="s">
        <v>188</v>
      </c>
      <c r="F2210">
        <v>5210010105</v>
      </c>
      <c r="G2210" s="13">
        <v>19795</v>
      </c>
      <c r="I2210" t="s">
        <v>179</v>
      </c>
      <c r="J2210" t="s">
        <v>891</v>
      </c>
      <c r="K2210" t="s">
        <v>180</v>
      </c>
      <c r="L2210">
        <v>200012420</v>
      </c>
    </row>
    <row r="2211" spans="3:12">
      <c r="C2211">
        <v>2100300025</v>
      </c>
      <c r="D2211">
        <v>6426000</v>
      </c>
      <c r="E2211" t="s">
        <v>188</v>
      </c>
      <c r="F2211">
        <v>5210010105</v>
      </c>
      <c r="G2211" s="13">
        <v>104940</v>
      </c>
      <c r="I2211" t="s">
        <v>179</v>
      </c>
      <c r="J2211" t="s">
        <v>891</v>
      </c>
      <c r="K2211" t="s">
        <v>180</v>
      </c>
      <c r="L2211">
        <v>200012067</v>
      </c>
    </row>
    <row r="2212" spans="3:12">
      <c r="C2212">
        <v>2100300025</v>
      </c>
      <c r="D2212">
        <v>6426000</v>
      </c>
      <c r="E2212" t="s">
        <v>188</v>
      </c>
      <c r="F2212">
        <v>5210010105</v>
      </c>
      <c r="G2212" s="13">
        <v>20800</v>
      </c>
      <c r="I2212" t="s">
        <v>179</v>
      </c>
      <c r="J2212" t="s">
        <v>891</v>
      </c>
      <c r="K2212" t="s">
        <v>180</v>
      </c>
      <c r="L2212">
        <v>200012068</v>
      </c>
    </row>
    <row r="2213" spans="3:12">
      <c r="C2213">
        <v>2100300025</v>
      </c>
      <c r="D2213">
        <v>6426000</v>
      </c>
      <c r="E2213" t="s">
        <v>188</v>
      </c>
      <c r="F2213">
        <v>5210010105</v>
      </c>
      <c r="G2213" s="13">
        <v>7750</v>
      </c>
      <c r="I2213" t="s">
        <v>179</v>
      </c>
      <c r="J2213" t="s">
        <v>891</v>
      </c>
      <c r="K2213" t="s">
        <v>180</v>
      </c>
      <c r="L2213">
        <v>200012069</v>
      </c>
    </row>
    <row r="2214" spans="3:12">
      <c r="C2214">
        <v>2100300025</v>
      </c>
      <c r="D2214">
        <v>6426000</v>
      </c>
      <c r="E2214" t="s">
        <v>188</v>
      </c>
      <c r="F2214">
        <v>5210010105</v>
      </c>
      <c r="G2214" s="13">
        <v>5200</v>
      </c>
      <c r="I2214" t="s">
        <v>179</v>
      </c>
      <c r="J2214" t="s">
        <v>891</v>
      </c>
      <c r="K2214" t="s">
        <v>180</v>
      </c>
      <c r="L2214">
        <v>200012070</v>
      </c>
    </row>
    <row r="2215" spans="3:12">
      <c r="C2215">
        <v>2100300025</v>
      </c>
      <c r="D2215">
        <v>6426000</v>
      </c>
      <c r="E2215" t="s">
        <v>188</v>
      </c>
      <c r="F2215">
        <v>5210010105</v>
      </c>
      <c r="G2215" s="13">
        <v>2560</v>
      </c>
      <c r="I2215" t="s">
        <v>179</v>
      </c>
      <c r="J2215" t="s">
        <v>891</v>
      </c>
      <c r="K2215" t="s">
        <v>180</v>
      </c>
      <c r="L2215">
        <v>200012071</v>
      </c>
    </row>
    <row r="2216" spans="3:12">
      <c r="C2216">
        <v>2100300025</v>
      </c>
      <c r="D2216">
        <v>6426000</v>
      </c>
      <c r="E2216" t="s">
        <v>188</v>
      </c>
      <c r="F2216">
        <v>5210010105</v>
      </c>
      <c r="G2216" s="13">
        <v>16240</v>
      </c>
      <c r="I2216" t="s">
        <v>179</v>
      </c>
      <c r="J2216" t="s">
        <v>891</v>
      </c>
      <c r="K2216" t="s">
        <v>180</v>
      </c>
      <c r="L2216">
        <v>200012072</v>
      </c>
    </row>
    <row r="2217" spans="3:12">
      <c r="C2217">
        <v>2100300025</v>
      </c>
      <c r="D2217">
        <v>6426000</v>
      </c>
      <c r="E2217" t="s">
        <v>188</v>
      </c>
      <c r="F2217">
        <v>5210010105</v>
      </c>
      <c r="G2217" s="13">
        <v>8100</v>
      </c>
      <c r="I2217" t="s">
        <v>179</v>
      </c>
      <c r="J2217" t="s">
        <v>891</v>
      </c>
      <c r="K2217" t="s">
        <v>180</v>
      </c>
      <c r="L2217">
        <v>200012073</v>
      </c>
    </row>
    <row r="2218" spans="3:12">
      <c r="C2218">
        <v>2100300025</v>
      </c>
      <c r="D2218">
        <v>6426000</v>
      </c>
      <c r="E2218" t="s">
        <v>188</v>
      </c>
      <c r="F2218">
        <v>5210010105</v>
      </c>
      <c r="G2218" s="13">
        <v>111000</v>
      </c>
      <c r="I2218" t="s">
        <v>179</v>
      </c>
      <c r="J2218" t="s">
        <v>891</v>
      </c>
      <c r="K2218" t="s">
        <v>180</v>
      </c>
      <c r="L2218">
        <v>200012626</v>
      </c>
    </row>
    <row r="2219" spans="3:12">
      <c r="C2219">
        <v>2100300025</v>
      </c>
      <c r="D2219">
        <v>6426000</v>
      </c>
      <c r="E2219" t="s">
        <v>188</v>
      </c>
      <c r="F2219">
        <v>5210010105</v>
      </c>
      <c r="G2219" s="13">
        <v>62450</v>
      </c>
      <c r="I2219" t="s">
        <v>179</v>
      </c>
      <c r="J2219" t="s">
        <v>891</v>
      </c>
      <c r="K2219" t="s">
        <v>180</v>
      </c>
      <c r="L2219">
        <v>200000845</v>
      </c>
    </row>
    <row r="2220" spans="3:12">
      <c r="C2220">
        <v>2100300025</v>
      </c>
      <c r="D2220">
        <v>6426000</v>
      </c>
      <c r="E2220" t="s">
        <v>188</v>
      </c>
      <c r="F2220">
        <v>5210010105</v>
      </c>
      <c r="G2220" s="13">
        <v>2568</v>
      </c>
      <c r="I2220" t="s">
        <v>179</v>
      </c>
      <c r="J2220" t="s">
        <v>891</v>
      </c>
      <c r="K2220" t="s">
        <v>180</v>
      </c>
      <c r="L2220">
        <v>200005305</v>
      </c>
    </row>
    <row r="2221" spans="3:12">
      <c r="C2221">
        <v>2100300025</v>
      </c>
      <c r="D2221">
        <v>6426000</v>
      </c>
      <c r="E2221" t="s">
        <v>188</v>
      </c>
      <c r="F2221">
        <v>5210010105</v>
      </c>
      <c r="G2221" s="13">
        <v>2220</v>
      </c>
      <c r="I2221" t="s">
        <v>179</v>
      </c>
      <c r="J2221" t="s">
        <v>891</v>
      </c>
      <c r="K2221" t="s">
        <v>180</v>
      </c>
      <c r="L2221">
        <v>200012725</v>
      </c>
    </row>
    <row r="2222" spans="3:12">
      <c r="C2222">
        <v>2100300025</v>
      </c>
      <c r="D2222">
        <v>6426000</v>
      </c>
      <c r="E2222" t="s">
        <v>188</v>
      </c>
      <c r="F2222">
        <v>5210010105</v>
      </c>
      <c r="G2222" s="13">
        <v>10000</v>
      </c>
      <c r="I2222" t="s">
        <v>179</v>
      </c>
      <c r="J2222" t="s">
        <v>892</v>
      </c>
      <c r="K2222" t="s">
        <v>180</v>
      </c>
      <c r="L2222">
        <v>200015017</v>
      </c>
    </row>
    <row r="2223" spans="3:12">
      <c r="C2223">
        <v>2100300025</v>
      </c>
      <c r="D2223">
        <v>6426000</v>
      </c>
      <c r="E2223" t="s">
        <v>188</v>
      </c>
      <c r="F2223">
        <v>5210010105</v>
      </c>
      <c r="G2223" s="13">
        <v>12400</v>
      </c>
      <c r="I2223" t="s">
        <v>179</v>
      </c>
      <c r="J2223" t="s">
        <v>892</v>
      </c>
      <c r="K2223" t="s">
        <v>180</v>
      </c>
      <c r="L2223">
        <v>200015203</v>
      </c>
    </row>
    <row r="2224" spans="3:12">
      <c r="C2224">
        <v>2100300025</v>
      </c>
      <c r="D2224">
        <v>6426000</v>
      </c>
      <c r="E2224" t="s">
        <v>188</v>
      </c>
      <c r="F2224">
        <v>5210010105</v>
      </c>
      <c r="G2224" s="13">
        <v>5800</v>
      </c>
      <c r="I2224" t="s">
        <v>179</v>
      </c>
      <c r="J2224" t="s">
        <v>892</v>
      </c>
      <c r="K2224" t="s">
        <v>180</v>
      </c>
      <c r="L2224">
        <v>200015204</v>
      </c>
    </row>
    <row r="2225" spans="3:12">
      <c r="C2225">
        <v>2100300025</v>
      </c>
      <c r="D2225">
        <v>6426000</v>
      </c>
      <c r="E2225" t="s">
        <v>188</v>
      </c>
      <c r="F2225">
        <v>5210010105</v>
      </c>
      <c r="G2225" s="13">
        <v>26322</v>
      </c>
      <c r="I2225" t="s">
        <v>179</v>
      </c>
      <c r="J2225" t="s">
        <v>892</v>
      </c>
      <c r="K2225" t="s">
        <v>180</v>
      </c>
      <c r="L2225">
        <v>200015205</v>
      </c>
    </row>
    <row r="2226" spans="3:12">
      <c r="C2226">
        <v>2100300025</v>
      </c>
      <c r="D2226">
        <v>6426000</v>
      </c>
      <c r="E2226" t="s">
        <v>188</v>
      </c>
      <c r="F2226">
        <v>5210010105</v>
      </c>
      <c r="G2226" s="13">
        <v>12840</v>
      </c>
      <c r="I2226" t="s">
        <v>179</v>
      </c>
      <c r="J2226" t="s">
        <v>892</v>
      </c>
      <c r="K2226" t="s">
        <v>180</v>
      </c>
      <c r="L2226">
        <v>200015206</v>
      </c>
    </row>
    <row r="2227" spans="3:12">
      <c r="C2227">
        <v>2100300025</v>
      </c>
      <c r="D2227">
        <v>6426000</v>
      </c>
      <c r="E2227" t="s">
        <v>188</v>
      </c>
      <c r="F2227">
        <v>5210010105</v>
      </c>
      <c r="G2227" s="13">
        <v>32613.599999999999</v>
      </c>
      <c r="I2227" t="s">
        <v>179</v>
      </c>
      <c r="J2227" t="s">
        <v>892</v>
      </c>
      <c r="K2227" t="s">
        <v>180</v>
      </c>
      <c r="L2227">
        <v>200015207</v>
      </c>
    </row>
    <row r="2228" spans="3:12">
      <c r="C2228">
        <v>2100300025</v>
      </c>
      <c r="D2228">
        <v>6426000</v>
      </c>
      <c r="E2228" t="s">
        <v>188</v>
      </c>
      <c r="F2228">
        <v>5210010105</v>
      </c>
      <c r="G2228" s="13">
        <v>7222.5</v>
      </c>
      <c r="I2228" t="s">
        <v>179</v>
      </c>
      <c r="J2228" t="s">
        <v>892</v>
      </c>
      <c r="K2228" t="s">
        <v>180</v>
      </c>
      <c r="L2228">
        <v>200015208</v>
      </c>
    </row>
    <row r="2229" spans="3:12">
      <c r="C2229">
        <v>2100300025</v>
      </c>
      <c r="D2229">
        <v>6426000</v>
      </c>
      <c r="E2229" t="s">
        <v>188</v>
      </c>
      <c r="F2229">
        <v>5210010105</v>
      </c>
      <c r="G2229" s="13">
        <v>3038.8</v>
      </c>
      <c r="I2229" t="s">
        <v>179</v>
      </c>
      <c r="J2229" t="s">
        <v>892</v>
      </c>
      <c r="K2229" t="s">
        <v>180</v>
      </c>
      <c r="L2229">
        <v>200015209</v>
      </c>
    </row>
    <row r="2230" spans="3:12">
      <c r="C2230">
        <v>2100300025</v>
      </c>
      <c r="D2230">
        <v>6426000</v>
      </c>
      <c r="E2230" t="s">
        <v>188</v>
      </c>
      <c r="F2230">
        <v>5210010105</v>
      </c>
      <c r="G2230" s="13">
        <v>21667.5</v>
      </c>
      <c r="I2230" t="s">
        <v>179</v>
      </c>
      <c r="J2230" t="s">
        <v>892</v>
      </c>
      <c r="K2230" t="s">
        <v>180</v>
      </c>
      <c r="L2230">
        <v>200015210</v>
      </c>
    </row>
    <row r="2231" spans="3:12">
      <c r="C2231">
        <v>2100300025</v>
      </c>
      <c r="D2231">
        <v>6426000</v>
      </c>
      <c r="E2231" t="s">
        <v>188</v>
      </c>
      <c r="F2231">
        <v>5210010105</v>
      </c>
      <c r="G2231" s="13">
        <v>62092.1</v>
      </c>
      <c r="I2231" t="s">
        <v>179</v>
      </c>
      <c r="J2231" t="s">
        <v>892</v>
      </c>
      <c r="K2231" t="s">
        <v>180</v>
      </c>
      <c r="L2231">
        <v>200015211</v>
      </c>
    </row>
    <row r="2232" spans="3:12">
      <c r="C2232">
        <v>2100300025</v>
      </c>
      <c r="D2232">
        <v>6426000</v>
      </c>
      <c r="E2232" t="s">
        <v>188</v>
      </c>
      <c r="F2232">
        <v>5210010105</v>
      </c>
      <c r="G2232" s="13">
        <v>6933.6</v>
      </c>
      <c r="I2232" t="s">
        <v>179</v>
      </c>
      <c r="J2232" t="s">
        <v>892</v>
      </c>
      <c r="K2232" t="s">
        <v>180</v>
      </c>
      <c r="L2232">
        <v>200015212</v>
      </c>
    </row>
    <row r="2233" spans="3:12">
      <c r="C2233">
        <v>2100300025</v>
      </c>
      <c r="D2233">
        <v>6426000</v>
      </c>
      <c r="E2233" t="s">
        <v>188</v>
      </c>
      <c r="F2233">
        <v>5210010105</v>
      </c>
      <c r="G2233">
        <v>969.42</v>
      </c>
      <c r="I2233" t="s">
        <v>179</v>
      </c>
      <c r="J2233" t="s">
        <v>892</v>
      </c>
      <c r="K2233" t="s">
        <v>180</v>
      </c>
      <c r="L2233">
        <v>200015213</v>
      </c>
    </row>
    <row r="2234" spans="3:12">
      <c r="C2234">
        <v>2100300025</v>
      </c>
      <c r="D2234">
        <v>6426000</v>
      </c>
      <c r="E2234" t="s">
        <v>188</v>
      </c>
      <c r="F2234">
        <v>5210010105</v>
      </c>
      <c r="G2234" s="13">
        <v>10950.38</v>
      </c>
      <c r="I2234" t="s">
        <v>179</v>
      </c>
      <c r="J2234" t="s">
        <v>892</v>
      </c>
      <c r="K2234" t="s">
        <v>180</v>
      </c>
      <c r="L2234">
        <v>200015214</v>
      </c>
    </row>
    <row r="2235" spans="3:12">
      <c r="C2235">
        <v>2100300025</v>
      </c>
      <c r="D2235">
        <v>6426000</v>
      </c>
      <c r="E2235" t="s">
        <v>188</v>
      </c>
      <c r="F2235">
        <v>5210010105</v>
      </c>
      <c r="G2235" s="13">
        <v>18240</v>
      </c>
      <c r="I2235" t="s">
        <v>179</v>
      </c>
      <c r="J2235" t="s">
        <v>892</v>
      </c>
      <c r="K2235" t="s">
        <v>180</v>
      </c>
      <c r="L2235">
        <v>200014543</v>
      </c>
    </row>
    <row r="2236" spans="3:12">
      <c r="C2236">
        <v>2100300025</v>
      </c>
      <c r="D2236">
        <v>6426000</v>
      </c>
      <c r="E2236" t="s">
        <v>188</v>
      </c>
      <c r="F2236">
        <v>5210010105</v>
      </c>
      <c r="G2236" s="13">
        <v>6750</v>
      </c>
      <c r="I2236" t="s">
        <v>179</v>
      </c>
      <c r="J2236" t="s">
        <v>892</v>
      </c>
      <c r="K2236" t="s">
        <v>180</v>
      </c>
      <c r="L2236">
        <v>200015215</v>
      </c>
    </row>
    <row r="2237" spans="3:12">
      <c r="C2237">
        <v>2100300025</v>
      </c>
      <c r="D2237">
        <v>6426000</v>
      </c>
      <c r="E2237" t="s">
        <v>188</v>
      </c>
      <c r="F2237">
        <v>5210010105</v>
      </c>
      <c r="G2237" s="13">
        <v>2421</v>
      </c>
      <c r="I2237" t="s">
        <v>179</v>
      </c>
      <c r="J2237" t="s">
        <v>892</v>
      </c>
      <c r="K2237" t="s">
        <v>180</v>
      </c>
      <c r="L2237">
        <v>200015226</v>
      </c>
    </row>
    <row r="2238" spans="3:12">
      <c r="C2238">
        <v>2100300025</v>
      </c>
      <c r="D2238">
        <v>6426000</v>
      </c>
      <c r="E2238" t="s">
        <v>188</v>
      </c>
      <c r="F2238">
        <v>5210010105</v>
      </c>
      <c r="G2238" s="13">
        <v>3600.55</v>
      </c>
      <c r="I2238" t="s">
        <v>179</v>
      </c>
      <c r="J2238" t="s">
        <v>892</v>
      </c>
      <c r="K2238" t="s">
        <v>180</v>
      </c>
      <c r="L2238">
        <v>200015028</v>
      </c>
    </row>
    <row r="2239" spans="3:12">
      <c r="C2239">
        <v>2100300025</v>
      </c>
      <c r="D2239">
        <v>6426000</v>
      </c>
      <c r="E2239" t="s">
        <v>188</v>
      </c>
      <c r="F2239">
        <v>5210010105</v>
      </c>
      <c r="G2239" s="13">
        <v>2889</v>
      </c>
      <c r="I2239" t="s">
        <v>179</v>
      </c>
      <c r="J2239" t="s">
        <v>892</v>
      </c>
      <c r="K2239" t="s">
        <v>180</v>
      </c>
      <c r="L2239">
        <v>200014797</v>
      </c>
    </row>
    <row r="2240" spans="3:12">
      <c r="C2240">
        <v>2100300025</v>
      </c>
      <c r="D2240">
        <v>6426000</v>
      </c>
      <c r="E2240" t="s">
        <v>188</v>
      </c>
      <c r="F2240">
        <v>5210010105</v>
      </c>
      <c r="G2240">
        <v>500</v>
      </c>
      <c r="I2240" t="s">
        <v>179</v>
      </c>
      <c r="J2240" t="s">
        <v>892</v>
      </c>
      <c r="K2240" t="s">
        <v>180</v>
      </c>
      <c r="L2240">
        <v>200015227</v>
      </c>
    </row>
    <row r="2241" spans="3:12">
      <c r="C2241">
        <v>2100300025</v>
      </c>
      <c r="D2241">
        <v>6426000</v>
      </c>
      <c r="E2241" t="s">
        <v>188</v>
      </c>
      <c r="F2241">
        <v>5210010105</v>
      </c>
      <c r="G2241" s="13">
        <v>3498.9</v>
      </c>
      <c r="I2241" t="s">
        <v>179</v>
      </c>
      <c r="J2241" t="s">
        <v>892</v>
      </c>
      <c r="K2241" t="s">
        <v>180</v>
      </c>
      <c r="L2241">
        <v>200014624</v>
      </c>
    </row>
    <row r="2242" spans="3:12">
      <c r="C2242">
        <v>2100300025</v>
      </c>
      <c r="D2242">
        <v>6426000</v>
      </c>
      <c r="E2242" t="s">
        <v>188</v>
      </c>
      <c r="F2242">
        <v>5210010105</v>
      </c>
      <c r="G2242" s="13">
        <v>2290</v>
      </c>
      <c r="I2242" t="s">
        <v>179</v>
      </c>
      <c r="J2242" t="s">
        <v>892</v>
      </c>
      <c r="K2242" t="s">
        <v>180</v>
      </c>
      <c r="L2242">
        <v>200015030</v>
      </c>
    </row>
    <row r="2243" spans="3:12">
      <c r="C2243">
        <v>2100300025</v>
      </c>
      <c r="D2243">
        <v>6426000</v>
      </c>
      <c r="E2243" t="s">
        <v>188</v>
      </c>
      <c r="F2243">
        <v>5210010105</v>
      </c>
      <c r="G2243" s="13">
        <v>23236</v>
      </c>
      <c r="I2243" t="s">
        <v>179</v>
      </c>
      <c r="J2243" t="s">
        <v>892</v>
      </c>
      <c r="K2243" t="s">
        <v>180</v>
      </c>
      <c r="L2243">
        <v>200015311</v>
      </c>
    </row>
    <row r="2244" spans="3:12">
      <c r="C2244">
        <v>2100300025</v>
      </c>
      <c r="D2244">
        <v>6426000</v>
      </c>
      <c r="E2244" t="s">
        <v>188</v>
      </c>
      <c r="F2244">
        <v>5210010105</v>
      </c>
      <c r="G2244">
        <v>319.93</v>
      </c>
      <c r="I2244" t="s">
        <v>179</v>
      </c>
      <c r="J2244" t="s">
        <v>892</v>
      </c>
      <c r="K2244" t="s">
        <v>180</v>
      </c>
      <c r="L2244">
        <v>200015312</v>
      </c>
    </row>
    <row r="2245" spans="3:12">
      <c r="C2245">
        <v>2100300025</v>
      </c>
      <c r="D2245">
        <v>6426000</v>
      </c>
      <c r="E2245" t="s">
        <v>188</v>
      </c>
      <c r="F2245">
        <v>5210010105</v>
      </c>
      <c r="G2245" s="13">
        <v>42800</v>
      </c>
      <c r="I2245" t="s">
        <v>179</v>
      </c>
      <c r="J2245" t="s">
        <v>892</v>
      </c>
      <c r="K2245" t="s">
        <v>180</v>
      </c>
      <c r="L2245">
        <v>200015313</v>
      </c>
    </row>
    <row r="2246" spans="3:12">
      <c r="C2246">
        <v>2100300025</v>
      </c>
      <c r="D2246">
        <v>6426000</v>
      </c>
      <c r="E2246" t="s">
        <v>188</v>
      </c>
      <c r="F2246">
        <v>5210010105</v>
      </c>
      <c r="G2246" s="13">
        <v>1775</v>
      </c>
      <c r="I2246" t="s">
        <v>179</v>
      </c>
      <c r="J2246" t="s">
        <v>892</v>
      </c>
      <c r="K2246" t="s">
        <v>180</v>
      </c>
      <c r="L2246">
        <v>200015033</v>
      </c>
    </row>
    <row r="2247" spans="3:12">
      <c r="C2247">
        <v>2100300025</v>
      </c>
      <c r="D2247">
        <v>6426000</v>
      </c>
      <c r="E2247" t="s">
        <v>188</v>
      </c>
      <c r="F2247">
        <v>5210010105</v>
      </c>
      <c r="G2247" s="13">
        <v>28800</v>
      </c>
      <c r="I2247" t="s">
        <v>179</v>
      </c>
      <c r="J2247" t="s">
        <v>893</v>
      </c>
      <c r="K2247" t="s">
        <v>180</v>
      </c>
      <c r="L2247">
        <v>200021510</v>
      </c>
    </row>
    <row r="2248" spans="3:12">
      <c r="C2248">
        <v>2100300025</v>
      </c>
      <c r="D2248">
        <v>6426000</v>
      </c>
      <c r="E2248" t="s">
        <v>188</v>
      </c>
      <c r="F2248">
        <v>5210010105</v>
      </c>
      <c r="G2248" s="13">
        <v>80250</v>
      </c>
      <c r="I2248" t="s">
        <v>179</v>
      </c>
      <c r="J2248" t="s">
        <v>893</v>
      </c>
      <c r="K2248" t="s">
        <v>180</v>
      </c>
      <c r="L2248">
        <v>200015466</v>
      </c>
    </row>
    <row r="2249" spans="3:12">
      <c r="C2249">
        <v>2100300025</v>
      </c>
      <c r="D2249">
        <v>6426000</v>
      </c>
      <c r="E2249" t="s">
        <v>188</v>
      </c>
      <c r="F2249">
        <v>5210010105</v>
      </c>
      <c r="G2249" s="13">
        <v>32600</v>
      </c>
      <c r="I2249" t="s">
        <v>179</v>
      </c>
      <c r="J2249" t="s">
        <v>893</v>
      </c>
      <c r="K2249" t="s">
        <v>180</v>
      </c>
      <c r="L2249">
        <v>200020789</v>
      </c>
    </row>
    <row r="2250" spans="3:12">
      <c r="C2250">
        <v>2100300025</v>
      </c>
      <c r="D2250">
        <v>6426000</v>
      </c>
      <c r="E2250" t="s">
        <v>188</v>
      </c>
      <c r="F2250">
        <v>5210010105</v>
      </c>
      <c r="G2250" s="13">
        <v>800000</v>
      </c>
      <c r="I2250" t="s">
        <v>179</v>
      </c>
      <c r="J2250" t="s">
        <v>893</v>
      </c>
      <c r="K2250" t="s">
        <v>180</v>
      </c>
      <c r="L2250">
        <v>200020790</v>
      </c>
    </row>
    <row r="2251" spans="3:12">
      <c r="C2251">
        <v>2100300025</v>
      </c>
      <c r="D2251">
        <v>6426000</v>
      </c>
      <c r="E2251" t="s">
        <v>188</v>
      </c>
      <c r="F2251">
        <v>5210010105</v>
      </c>
      <c r="G2251" s="13">
        <v>201695</v>
      </c>
      <c r="I2251" t="s">
        <v>179</v>
      </c>
      <c r="J2251" t="s">
        <v>871</v>
      </c>
      <c r="K2251" t="s">
        <v>180</v>
      </c>
      <c r="L2251">
        <v>200023937</v>
      </c>
    </row>
    <row r="2252" spans="3:12">
      <c r="C2252">
        <v>2100300025</v>
      </c>
      <c r="D2252">
        <v>6426000</v>
      </c>
      <c r="E2252" t="s">
        <v>188</v>
      </c>
      <c r="F2252">
        <v>5210010105</v>
      </c>
      <c r="G2252" s="13">
        <v>133250</v>
      </c>
      <c r="I2252" t="s">
        <v>179</v>
      </c>
      <c r="J2252" t="s">
        <v>871</v>
      </c>
      <c r="K2252" t="s">
        <v>180</v>
      </c>
      <c r="L2252">
        <v>200023938</v>
      </c>
    </row>
    <row r="2253" spans="3:12">
      <c r="C2253">
        <v>2100300025</v>
      </c>
      <c r="D2253">
        <v>6426000</v>
      </c>
      <c r="E2253" t="s">
        <v>188</v>
      </c>
      <c r="F2253">
        <v>5210010105</v>
      </c>
      <c r="G2253" s="13">
        <v>238180</v>
      </c>
      <c r="I2253" t="s">
        <v>179</v>
      </c>
      <c r="J2253" t="s">
        <v>871</v>
      </c>
      <c r="K2253" t="s">
        <v>180</v>
      </c>
      <c r="L2253">
        <v>200023860</v>
      </c>
    </row>
    <row r="2254" spans="3:12">
      <c r="C2254">
        <v>2100300025</v>
      </c>
      <c r="D2254">
        <v>6426000</v>
      </c>
      <c r="E2254" t="s">
        <v>188</v>
      </c>
      <c r="F2254">
        <v>5210010105</v>
      </c>
      <c r="G2254" s="13">
        <v>17500</v>
      </c>
      <c r="I2254" t="s">
        <v>179</v>
      </c>
      <c r="J2254" t="s">
        <v>871</v>
      </c>
      <c r="K2254" t="s">
        <v>180</v>
      </c>
      <c r="L2254">
        <v>200023939</v>
      </c>
    </row>
    <row r="2255" spans="3:12">
      <c r="C2255">
        <v>2100300025</v>
      </c>
      <c r="D2255">
        <v>6426000</v>
      </c>
      <c r="E2255" t="s">
        <v>188</v>
      </c>
      <c r="F2255">
        <v>5210010105</v>
      </c>
      <c r="G2255" s="13">
        <v>38500</v>
      </c>
      <c r="I2255" t="s">
        <v>179</v>
      </c>
      <c r="J2255" t="s">
        <v>871</v>
      </c>
      <c r="K2255" t="s">
        <v>180</v>
      </c>
      <c r="L2255">
        <v>200024216</v>
      </c>
    </row>
    <row r="2256" spans="3:12">
      <c r="C2256">
        <v>2100300025</v>
      </c>
      <c r="D2256">
        <v>6426000</v>
      </c>
      <c r="E2256" t="s">
        <v>188</v>
      </c>
      <c r="F2256">
        <v>5210010105</v>
      </c>
      <c r="G2256" s="13">
        <v>20319.3</v>
      </c>
      <c r="I2256" t="s">
        <v>179</v>
      </c>
      <c r="J2256" t="s">
        <v>871</v>
      </c>
      <c r="K2256" t="s">
        <v>180</v>
      </c>
      <c r="L2256">
        <v>200024218</v>
      </c>
    </row>
    <row r="2257" spans="3:12">
      <c r="C2257">
        <v>2100300025</v>
      </c>
      <c r="D2257">
        <v>6426000</v>
      </c>
      <c r="E2257" t="s">
        <v>188</v>
      </c>
      <c r="F2257">
        <v>5210010105</v>
      </c>
      <c r="G2257" s="13">
        <v>10800</v>
      </c>
      <c r="I2257" t="s">
        <v>179</v>
      </c>
      <c r="J2257" t="s">
        <v>871</v>
      </c>
      <c r="K2257" t="s">
        <v>180</v>
      </c>
      <c r="L2257">
        <v>200024307</v>
      </c>
    </row>
    <row r="2258" spans="3:12">
      <c r="C2258">
        <v>2100300025</v>
      </c>
      <c r="D2258">
        <v>6426000</v>
      </c>
      <c r="E2258" t="s">
        <v>188</v>
      </c>
      <c r="F2258">
        <v>5210010105</v>
      </c>
      <c r="G2258" s="13">
        <v>1015</v>
      </c>
      <c r="I2258" t="s">
        <v>179</v>
      </c>
      <c r="J2258" t="s">
        <v>871</v>
      </c>
      <c r="K2258" t="s">
        <v>180</v>
      </c>
      <c r="L2258">
        <v>200015494</v>
      </c>
    </row>
    <row r="2259" spans="3:12">
      <c r="C2259">
        <v>2100300025</v>
      </c>
      <c r="D2259">
        <v>6426000</v>
      </c>
      <c r="E2259" t="s">
        <v>188</v>
      </c>
      <c r="F2259">
        <v>5210010105</v>
      </c>
      <c r="G2259" s="13">
        <v>2012</v>
      </c>
      <c r="I2259" t="s">
        <v>179</v>
      </c>
      <c r="J2259" t="s">
        <v>871</v>
      </c>
      <c r="K2259" t="s">
        <v>180</v>
      </c>
      <c r="L2259">
        <v>200024309</v>
      </c>
    </row>
    <row r="2260" spans="3:12">
      <c r="C2260">
        <v>2100300025</v>
      </c>
      <c r="D2260">
        <v>6426000</v>
      </c>
      <c r="E2260" t="s">
        <v>188</v>
      </c>
      <c r="F2260">
        <v>5210010105</v>
      </c>
      <c r="G2260" s="13">
        <v>2260</v>
      </c>
      <c r="I2260" t="s">
        <v>179</v>
      </c>
      <c r="J2260" t="s">
        <v>871</v>
      </c>
      <c r="K2260" t="s">
        <v>180</v>
      </c>
      <c r="L2260">
        <v>200001040</v>
      </c>
    </row>
    <row r="2261" spans="3:12">
      <c r="C2261">
        <v>2100300025</v>
      </c>
      <c r="D2261">
        <v>6426000</v>
      </c>
      <c r="E2261" t="s">
        <v>188</v>
      </c>
      <c r="F2261">
        <v>5210010105</v>
      </c>
      <c r="G2261" s="13">
        <v>2250</v>
      </c>
      <c r="I2261" t="s">
        <v>179</v>
      </c>
      <c r="J2261" t="s">
        <v>871</v>
      </c>
      <c r="K2261" t="s">
        <v>180</v>
      </c>
      <c r="L2261">
        <v>200024310</v>
      </c>
    </row>
    <row r="2262" spans="3:12">
      <c r="C2262">
        <v>2100300025</v>
      </c>
      <c r="D2262">
        <v>6426000</v>
      </c>
      <c r="E2262" t="s">
        <v>188</v>
      </c>
      <c r="F2262">
        <v>5210010105</v>
      </c>
      <c r="G2262" s="13">
        <v>2308.34</v>
      </c>
      <c r="I2262" t="s">
        <v>179</v>
      </c>
      <c r="J2262" t="s">
        <v>871</v>
      </c>
      <c r="K2262" t="s">
        <v>180</v>
      </c>
      <c r="L2262">
        <v>200024223</v>
      </c>
    </row>
    <row r="2263" spans="3:12">
      <c r="C2263">
        <v>2100300025</v>
      </c>
      <c r="D2263">
        <v>6426000</v>
      </c>
      <c r="E2263" t="s">
        <v>188</v>
      </c>
      <c r="F2263">
        <v>5210010105</v>
      </c>
      <c r="G2263" s="13">
        <v>2313.34</v>
      </c>
      <c r="I2263" t="s">
        <v>179</v>
      </c>
      <c r="J2263" t="s">
        <v>871</v>
      </c>
      <c r="K2263" t="s">
        <v>180</v>
      </c>
      <c r="L2263">
        <v>200024224</v>
      </c>
    </row>
    <row r="2264" spans="3:12">
      <c r="C2264">
        <v>2100300025</v>
      </c>
      <c r="D2264">
        <v>6426000</v>
      </c>
      <c r="E2264" t="s">
        <v>188</v>
      </c>
      <c r="F2264">
        <v>5210010105</v>
      </c>
      <c r="G2264" s="13">
        <v>6900</v>
      </c>
      <c r="I2264" t="s">
        <v>179</v>
      </c>
      <c r="J2264" t="s">
        <v>894</v>
      </c>
      <c r="K2264" t="s">
        <v>180</v>
      </c>
      <c r="L2264">
        <v>200020810</v>
      </c>
    </row>
    <row r="2265" spans="3:12">
      <c r="C2265">
        <v>2100300025</v>
      </c>
      <c r="D2265">
        <v>6426000</v>
      </c>
      <c r="E2265" t="s">
        <v>188</v>
      </c>
      <c r="F2265">
        <v>5210010105</v>
      </c>
      <c r="G2265" s="13">
        <v>114000</v>
      </c>
      <c r="I2265" t="s">
        <v>179</v>
      </c>
      <c r="J2265" t="s">
        <v>894</v>
      </c>
      <c r="K2265" t="s">
        <v>180</v>
      </c>
      <c r="L2265">
        <v>200015458</v>
      </c>
    </row>
    <row r="2266" spans="3:12">
      <c r="C2266">
        <v>2100300025</v>
      </c>
      <c r="D2266">
        <v>6426000</v>
      </c>
      <c r="E2266" t="s">
        <v>188</v>
      </c>
      <c r="F2266">
        <v>5210010105</v>
      </c>
      <c r="G2266" s="13">
        <v>199177.29</v>
      </c>
      <c r="I2266" t="s">
        <v>179</v>
      </c>
      <c r="J2266" t="s">
        <v>894</v>
      </c>
      <c r="K2266" t="s">
        <v>180</v>
      </c>
      <c r="L2266">
        <v>200015459</v>
      </c>
    </row>
    <row r="2267" spans="3:12">
      <c r="C2267">
        <v>2100300025</v>
      </c>
      <c r="D2267">
        <v>6426000</v>
      </c>
      <c r="E2267" t="s">
        <v>188</v>
      </c>
      <c r="F2267">
        <v>5210010105</v>
      </c>
      <c r="G2267" s="13">
        <v>13000</v>
      </c>
      <c r="I2267" t="s">
        <v>179</v>
      </c>
      <c r="J2267" t="s">
        <v>898</v>
      </c>
      <c r="K2267" t="s">
        <v>180</v>
      </c>
      <c r="L2267">
        <v>200022796</v>
      </c>
    </row>
    <row r="2268" spans="3:12">
      <c r="C2268">
        <v>2100300025</v>
      </c>
      <c r="D2268">
        <v>6426000</v>
      </c>
      <c r="E2268" t="s">
        <v>188</v>
      </c>
      <c r="F2268">
        <v>5210010105</v>
      </c>
      <c r="G2268" s="13">
        <v>11000</v>
      </c>
      <c r="I2268" t="s">
        <v>179</v>
      </c>
      <c r="J2268" t="s">
        <v>898</v>
      </c>
      <c r="K2268" t="s">
        <v>180</v>
      </c>
      <c r="L2268">
        <v>200022798</v>
      </c>
    </row>
    <row r="2269" spans="3:12">
      <c r="C2269">
        <v>2100300025</v>
      </c>
      <c r="D2269">
        <v>6426000</v>
      </c>
      <c r="E2269" t="s">
        <v>188</v>
      </c>
      <c r="F2269">
        <v>5210010105</v>
      </c>
      <c r="G2269" s="13">
        <v>209309.12</v>
      </c>
      <c r="I2269" t="s">
        <v>179</v>
      </c>
      <c r="J2269" t="s">
        <v>898</v>
      </c>
      <c r="K2269" t="s">
        <v>180</v>
      </c>
      <c r="L2269">
        <v>200022836</v>
      </c>
    </row>
    <row r="2270" spans="3:12">
      <c r="C2270">
        <v>2100300025</v>
      </c>
      <c r="D2270">
        <v>6426000</v>
      </c>
      <c r="E2270" t="s">
        <v>188</v>
      </c>
      <c r="F2270">
        <v>5210010105</v>
      </c>
      <c r="G2270" s="13">
        <v>11373</v>
      </c>
      <c r="I2270" t="s">
        <v>179</v>
      </c>
      <c r="J2270" t="s">
        <v>814</v>
      </c>
      <c r="K2270" t="s">
        <v>180</v>
      </c>
      <c r="L2270">
        <v>200014581</v>
      </c>
    </row>
    <row r="2271" spans="3:12">
      <c r="C2271">
        <v>2100300025</v>
      </c>
      <c r="D2271">
        <v>6426000</v>
      </c>
      <c r="E2271" t="s">
        <v>188</v>
      </c>
      <c r="F2271">
        <v>5210010105</v>
      </c>
      <c r="G2271" s="13">
        <v>6556</v>
      </c>
      <c r="I2271" t="s">
        <v>179</v>
      </c>
      <c r="J2271" t="s">
        <v>814</v>
      </c>
      <c r="K2271" t="s">
        <v>180</v>
      </c>
      <c r="L2271">
        <v>200015990</v>
      </c>
    </row>
    <row r="2272" spans="3:12">
      <c r="C2272">
        <v>2100300025</v>
      </c>
      <c r="D2272">
        <v>6426000</v>
      </c>
      <c r="E2272" t="s">
        <v>188</v>
      </c>
      <c r="F2272">
        <v>5210010105</v>
      </c>
      <c r="G2272">
        <v>674.1</v>
      </c>
      <c r="I2272" t="s">
        <v>179</v>
      </c>
      <c r="J2272" t="s">
        <v>816</v>
      </c>
      <c r="K2272" t="s">
        <v>180</v>
      </c>
      <c r="L2272">
        <v>200022545</v>
      </c>
    </row>
    <row r="2273" spans="3:12">
      <c r="C2273">
        <v>2100300025</v>
      </c>
      <c r="D2273">
        <v>6426000</v>
      </c>
      <c r="E2273" t="s">
        <v>188</v>
      </c>
      <c r="F2273">
        <v>5210010105</v>
      </c>
      <c r="G2273" s="13">
        <v>1926</v>
      </c>
      <c r="I2273" t="s">
        <v>179</v>
      </c>
      <c r="J2273" t="s">
        <v>816</v>
      </c>
      <c r="K2273" t="s">
        <v>180</v>
      </c>
      <c r="L2273">
        <v>200021838</v>
      </c>
    </row>
    <row r="2274" spans="3:12">
      <c r="C2274">
        <v>2100300025</v>
      </c>
      <c r="D2274">
        <v>6426000</v>
      </c>
      <c r="E2274" t="s">
        <v>188</v>
      </c>
      <c r="F2274">
        <v>5210010105</v>
      </c>
      <c r="G2274" s="13">
        <v>2478.5</v>
      </c>
      <c r="I2274" t="s">
        <v>179</v>
      </c>
      <c r="J2274" t="s">
        <v>816</v>
      </c>
      <c r="K2274" t="s">
        <v>180</v>
      </c>
      <c r="L2274">
        <v>200021844</v>
      </c>
    </row>
    <row r="2275" spans="3:12">
      <c r="C2275">
        <v>2100300025</v>
      </c>
      <c r="D2275">
        <v>6426000</v>
      </c>
      <c r="E2275" t="s">
        <v>188</v>
      </c>
      <c r="F2275">
        <v>5210010105</v>
      </c>
      <c r="G2275" s="13">
        <v>18000</v>
      </c>
      <c r="I2275" t="s">
        <v>179</v>
      </c>
      <c r="J2275" t="s">
        <v>816</v>
      </c>
      <c r="K2275" t="s">
        <v>180</v>
      </c>
      <c r="L2275">
        <v>200021863</v>
      </c>
    </row>
    <row r="2276" spans="3:12">
      <c r="C2276">
        <v>2100300025</v>
      </c>
      <c r="D2276">
        <v>6426000</v>
      </c>
      <c r="E2276" t="s">
        <v>188</v>
      </c>
      <c r="F2276">
        <v>5210010105</v>
      </c>
      <c r="G2276" s="13">
        <v>8881</v>
      </c>
      <c r="I2276" t="s">
        <v>179</v>
      </c>
      <c r="J2276" t="s">
        <v>899</v>
      </c>
      <c r="K2276" t="s">
        <v>180</v>
      </c>
      <c r="L2276">
        <v>200015601</v>
      </c>
    </row>
    <row r="2277" spans="3:12">
      <c r="C2277">
        <v>2100300025</v>
      </c>
      <c r="D2277">
        <v>6426000</v>
      </c>
      <c r="E2277" t="s">
        <v>188</v>
      </c>
      <c r="F2277">
        <v>5210010105</v>
      </c>
      <c r="G2277" s="13">
        <v>9575</v>
      </c>
      <c r="I2277" t="s">
        <v>179</v>
      </c>
      <c r="J2277" t="s">
        <v>899</v>
      </c>
      <c r="K2277" t="s">
        <v>180</v>
      </c>
      <c r="L2277">
        <v>200013892</v>
      </c>
    </row>
    <row r="2278" spans="3:12">
      <c r="C2278">
        <v>2100300025</v>
      </c>
      <c r="D2278">
        <v>6426000</v>
      </c>
      <c r="E2278" t="s">
        <v>188</v>
      </c>
      <c r="F2278">
        <v>5210010105</v>
      </c>
      <c r="G2278" s="13">
        <v>15000.01</v>
      </c>
      <c r="I2278" t="s">
        <v>179</v>
      </c>
      <c r="J2278" t="s">
        <v>899</v>
      </c>
      <c r="K2278" t="s">
        <v>180</v>
      </c>
      <c r="L2278">
        <v>200015604</v>
      </c>
    </row>
    <row r="2279" spans="3:12">
      <c r="C2279">
        <v>2100300025</v>
      </c>
      <c r="D2279">
        <v>6426000</v>
      </c>
      <c r="E2279" t="s">
        <v>188</v>
      </c>
      <c r="F2279">
        <v>5210010105</v>
      </c>
      <c r="G2279" s="13">
        <v>19500</v>
      </c>
      <c r="I2279" t="s">
        <v>179</v>
      </c>
      <c r="J2279" t="s">
        <v>900</v>
      </c>
      <c r="K2279" t="s">
        <v>180</v>
      </c>
      <c r="L2279">
        <v>200016416</v>
      </c>
    </row>
    <row r="2280" spans="3:12">
      <c r="C2280">
        <v>2100300025</v>
      </c>
      <c r="D2280">
        <v>6426000</v>
      </c>
      <c r="E2280" t="s">
        <v>188</v>
      </c>
      <c r="F2280">
        <v>5210010105</v>
      </c>
      <c r="G2280" s="13">
        <v>75000</v>
      </c>
      <c r="I2280" t="s">
        <v>179</v>
      </c>
      <c r="J2280" t="s">
        <v>900</v>
      </c>
      <c r="K2280" t="s">
        <v>180</v>
      </c>
      <c r="L2280">
        <v>200016347</v>
      </c>
    </row>
    <row r="2281" spans="3:12">
      <c r="C2281">
        <v>2100300025</v>
      </c>
      <c r="D2281">
        <v>6426000</v>
      </c>
      <c r="E2281" t="s">
        <v>188</v>
      </c>
      <c r="F2281">
        <v>5210010105</v>
      </c>
      <c r="G2281" s="13">
        <v>3000</v>
      </c>
      <c r="I2281" t="s">
        <v>179</v>
      </c>
      <c r="J2281" t="s">
        <v>900</v>
      </c>
      <c r="K2281" t="s">
        <v>180</v>
      </c>
      <c r="L2281">
        <v>200015761</v>
      </c>
    </row>
    <row r="2282" spans="3:12">
      <c r="C2282">
        <v>2100300025</v>
      </c>
      <c r="D2282">
        <v>6426000</v>
      </c>
      <c r="E2282" t="s">
        <v>188</v>
      </c>
      <c r="F2282">
        <v>5210010105</v>
      </c>
      <c r="G2282" s="13">
        <v>2040</v>
      </c>
      <c r="I2282" t="s">
        <v>179</v>
      </c>
      <c r="J2282" t="s">
        <v>900</v>
      </c>
      <c r="K2282" t="s">
        <v>180</v>
      </c>
      <c r="L2282">
        <v>200016349</v>
      </c>
    </row>
    <row r="2283" spans="3:12">
      <c r="C2283">
        <v>2100300025</v>
      </c>
      <c r="D2283">
        <v>6426000</v>
      </c>
      <c r="E2283" t="s">
        <v>188</v>
      </c>
      <c r="F2283">
        <v>5210010105</v>
      </c>
      <c r="G2283">
        <v>450</v>
      </c>
      <c r="I2283" t="s">
        <v>179</v>
      </c>
      <c r="J2283" t="s">
        <v>900</v>
      </c>
      <c r="K2283" t="s">
        <v>180</v>
      </c>
      <c r="L2283">
        <v>200016420</v>
      </c>
    </row>
    <row r="2284" spans="3:12">
      <c r="C2284">
        <v>2100300025</v>
      </c>
      <c r="D2284">
        <v>6426000</v>
      </c>
      <c r="E2284" t="s">
        <v>188</v>
      </c>
      <c r="F2284">
        <v>5210010105</v>
      </c>
      <c r="G2284" s="13">
        <v>45000</v>
      </c>
      <c r="I2284" t="s">
        <v>179</v>
      </c>
      <c r="J2284" t="s">
        <v>900</v>
      </c>
      <c r="K2284" t="s">
        <v>180</v>
      </c>
      <c r="L2284">
        <v>200016351</v>
      </c>
    </row>
    <row r="2285" spans="3:12">
      <c r="C2285">
        <v>2100300025</v>
      </c>
      <c r="D2285">
        <v>6426000</v>
      </c>
      <c r="E2285" t="s">
        <v>188</v>
      </c>
      <c r="F2285">
        <v>5210010105</v>
      </c>
      <c r="G2285" s="13">
        <v>1960</v>
      </c>
      <c r="I2285" t="s">
        <v>179</v>
      </c>
      <c r="J2285" t="s">
        <v>900</v>
      </c>
      <c r="K2285" t="s">
        <v>180</v>
      </c>
      <c r="L2285">
        <v>200016352</v>
      </c>
    </row>
    <row r="2286" spans="3:12">
      <c r="C2286">
        <v>2100300025</v>
      </c>
      <c r="D2286">
        <v>6426000</v>
      </c>
      <c r="E2286" t="s">
        <v>188</v>
      </c>
      <c r="F2286">
        <v>5210010105</v>
      </c>
      <c r="G2286">
        <v>80</v>
      </c>
      <c r="I2286" t="s">
        <v>179</v>
      </c>
      <c r="J2286" t="s">
        <v>900</v>
      </c>
      <c r="K2286" t="s">
        <v>180</v>
      </c>
      <c r="L2286">
        <v>200016353</v>
      </c>
    </row>
    <row r="2287" spans="3:12">
      <c r="C2287">
        <v>2100300025</v>
      </c>
      <c r="D2287">
        <v>6426000</v>
      </c>
      <c r="E2287" t="s">
        <v>188</v>
      </c>
      <c r="F2287">
        <v>5210010105</v>
      </c>
      <c r="G2287" s="13">
        <v>23300</v>
      </c>
      <c r="I2287" t="s">
        <v>179</v>
      </c>
      <c r="J2287" t="s">
        <v>900</v>
      </c>
      <c r="K2287" t="s">
        <v>180</v>
      </c>
      <c r="L2287">
        <v>200016354</v>
      </c>
    </row>
    <row r="2288" spans="3:12">
      <c r="C2288">
        <v>2100300025</v>
      </c>
      <c r="D2288">
        <v>6426000</v>
      </c>
      <c r="E2288" t="s">
        <v>188</v>
      </c>
      <c r="F2288">
        <v>5210010105</v>
      </c>
      <c r="G2288" s="13">
        <v>4890</v>
      </c>
      <c r="I2288" t="s">
        <v>179</v>
      </c>
      <c r="J2288" t="s">
        <v>900</v>
      </c>
      <c r="K2288" t="s">
        <v>180</v>
      </c>
      <c r="L2288">
        <v>200016355</v>
      </c>
    </row>
    <row r="2289" spans="3:12">
      <c r="C2289">
        <v>2100300025</v>
      </c>
      <c r="D2289">
        <v>6426000</v>
      </c>
      <c r="E2289" t="s">
        <v>188</v>
      </c>
      <c r="F2289">
        <v>5210010105</v>
      </c>
      <c r="G2289" s="13">
        <v>2100</v>
      </c>
      <c r="I2289" t="s">
        <v>179</v>
      </c>
      <c r="J2289" t="s">
        <v>900</v>
      </c>
      <c r="K2289" t="s">
        <v>180</v>
      </c>
      <c r="L2289">
        <v>200016356</v>
      </c>
    </row>
    <row r="2290" spans="3:12">
      <c r="C2290">
        <v>2100300025</v>
      </c>
      <c r="D2290">
        <v>6426000</v>
      </c>
      <c r="E2290" t="s">
        <v>188</v>
      </c>
      <c r="F2290">
        <v>5210010105</v>
      </c>
      <c r="G2290">
        <v>240</v>
      </c>
      <c r="I2290" t="s">
        <v>179</v>
      </c>
      <c r="J2290" t="s">
        <v>901</v>
      </c>
      <c r="K2290" t="s">
        <v>180</v>
      </c>
      <c r="L2290">
        <v>200021811</v>
      </c>
    </row>
    <row r="2291" spans="3:12">
      <c r="C2291">
        <v>2100300025</v>
      </c>
      <c r="D2291">
        <v>6426000</v>
      </c>
      <c r="E2291" t="s">
        <v>188</v>
      </c>
      <c r="F2291">
        <v>5210010105</v>
      </c>
      <c r="G2291" s="13">
        <v>6473</v>
      </c>
      <c r="I2291" t="s">
        <v>179</v>
      </c>
      <c r="J2291" t="s">
        <v>901</v>
      </c>
      <c r="K2291" t="s">
        <v>180</v>
      </c>
      <c r="L2291">
        <v>200021812</v>
      </c>
    </row>
    <row r="2292" spans="3:12">
      <c r="C2292">
        <v>2100300025</v>
      </c>
      <c r="D2292">
        <v>6426000</v>
      </c>
      <c r="E2292" t="s">
        <v>188</v>
      </c>
      <c r="F2292">
        <v>5210010105</v>
      </c>
      <c r="G2292">
        <v>492.2</v>
      </c>
      <c r="I2292" t="s">
        <v>179</v>
      </c>
      <c r="J2292" t="s">
        <v>902</v>
      </c>
      <c r="K2292" t="s">
        <v>180</v>
      </c>
      <c r="L2292">
        <v>200025964</v>
      </c>
    </row>
    <row r="2293" spans="3:12">
      <c r="C2293">
        <v>2100300025</v>
      </c>
      <c r="D2293">
        <v>6426000</v>
      </c>
      <c r="E2293" t="s">
        <v>188</v>
      </c>
      <c r="F2293">
        <v>5210010105</v>
      </c>
      <c r="G2293" s="13">
        <v>14231</v>
      </c>
      <c r="I2293" t="s">
        <v>179</v>
      </c>
      <c r="J2293" t="s">
        <v>902</v>
      </c>
      <c r="K2293" t="s">
        <v>180</v>
      </c>
      <c r="L2293">
        <v>200025965</v>
      </c>
    </row>
    <row r="2294" spans="3:12">
      <c r="C2294">
        <v>2100300025</v>
      </c>
      <c r="D2294">
        <v>6426000</v>
      </c>
      <c r="E2294" t="s">
        <v>188</v>
      </c>
      <c r="F2294">
        <v>5210010105</v>
      </c>
      <c r="G2294" s="13">
        <v>6200</v>
      </c>
      <c r="I2294" t="s">
        <v>179</v>
      </c>
      <c r="J2294" t="s">
        <v>902</v>
      </c>
      <c r="K2294" t="s">
        <v>180</v>
      </c>
      <c r="L2294">
        <v>200025973</v>
      </c>
    </row>
    <row r="2295" spans="3:12">
      <c r="C2295">
        <v>2100300025</v>
      </c>
      <c r="D2295">
        <v>6426000</v>
      </c>
      <c r="E2295" t="s">
        <v>188</v>
      </c>
      <c r="F2295">
        <v>5210010105</v>
      </c>
      <c r="G2295" s="13">
        <v>1160</v>
      </c>
      <c r="I2295" t="s">
        <v>179</v>
      </c>
      <c r="J2295" t="s">
        <v>902</v>
      </c>
      <c r="K2295" t="s">
        <v>180</v>
      </c>
      <c r="L2295">
        <v>200025974</v>
      </c>
    </row>
    <row r="2296" spans="3:12">
      <c r="C2296">
        <v>2100300025</v>
      </c>
      <c r="D2296">
        <v>6426000</v>
      </c>
      <c r="E2296" t="s">
        <v>188</v>
      </c>
      <c r="F2296">
        <v>5210010105</v>
      </c>
      <c r="G2296" s="13">
        <v>13000</v>
      </c>
      <c r="I2296" t="s">
        <v>179</v>
      </c>
      <c r="J2296" t="s">
        <v>902</v>
      </c>
      <c r="K2296" t="s">
        <v>180</v>
      </c>
      <c r="L2296">
        <v>200025975</v>
      </c>
    </row>
    <row r="2297" spans="3:12">
      <c r="C2297">
        <v>2100300025</v>
      </c>
      <c r="D2297">
        <v>6426000</v>
      </c>
      <c r="E2297" t="s">
        <v>188</v>
      </c>
      <c r="F2297">
        <v>5210010105</v>
      </c>
      <c r="G2297" s="13">
        <v>1500</v>
      </c>
      <c r="I2297" t="s">
        <v>179</v>
      </c>
      <c r="J2297" t="s">
        <v>902</v>
      </c>
      <c r="K2297" t="s">
        <v>180</v>
      </c>
      <c r="L2297">
        <v>200025976</v>
      </c>
    </row>
    <row r="2298" spans="3:12">
      <c r="C2298">
        <v>2100300025</v>
      </c>
      <c r="D2298">
        <v>6426000</v>
      </c>
      <c r="E2298" t="s">
        <v>188</v>
      </c>
      <c r="F2298">
        <v>5210010105</v>
      </c>
      <c r="G2298" s="13">
        <v>4160</v>
      </c>
      <c r="I2298" t="s">
        <v>179</v>
      </c>
      <c r="J2298" t="s">
        <v>902</v>
      </c>
      <c r="K2298" t="s">
        <v>180</v>
      </c>
      <c r="L2298">
        <v>200025977</v>
      </c>
    </row>
    <row r="2299" spans="3:12">
      <c r="C2299">
        <v>2100300025</v>
      </c>
      <c r="D2299">
        <v>6426000</v>
      </c>
      <c r="E2299" t="s">
        <v>188</v>
      </c>
      <c r="F2299">
        <v>5210010105</v>
      </c>
      <c r="G2299" s="13">
        <v>2600</v>
      </c>
      <c r="I2299" t="s">
        <v>179</v>
      </c>
      <c r="J2299" t="s">
        <v>902</v>
      </c>
      <c r="K2299" t="s">
        <v>180</v>
      </c>
      <c r="L2299">
        <v>200025978</v>
      </c>
    </row>
    <row r="2300" spans="3:12">
      <c r="C2300">
        <v>2100300025</v>
      </c>
      <c r="D2300">
        <v>6426000</v>
      </c>
      <c r="E2300" t="s">
        <v>188</v>
      </c>
      <c r="F2300">
        <v>5210010105</v>
      </c>
      <c r="G2300" s="13">
        <v>5250</v>
      </c>
      <c r="I2300" t="s">
        <v>179</v>
      </c>
      <c r="J2300" t="s">
        <v>902</v>
      </c>
      <c r="K2300" t="s">
        <v>180</v>
      </c>
      <c r="L2300">
        <v>200025636</v>
      </c>
    </row>
    <row r="2301" spans="3:12">
      <c r="C2301">
        <v>2100300025</v>
      </c>
      <c r="D2301">
        <v>6426000</v>
      </c>
      <c r="E2301" t="s">
        <v>188</v>
      </c>
      <c r="F2301">
        <v>5210010105</v>
      </c>
      <c r="G2301">
        <v>270</v>
      </c>
      <c r="I2301" t="s">
        <v>179</v>
      </c>
      <c r="J2301" t="s">
        <v>899</v>
      </c>
      <c r="K2301" t="s">
        <v>180</v>
      </c>
      <c r="L2301">
        <v>200015550</v>
      </c>
    </row>
    <row r="2302" spans="3:12">
      <c r="C2302">
        <v>2100300025</v>
      </c>
      <c r="D2302">
        <v>6426000</v>
      </c>
      <c r="E2302" t="s">
        <v>188</v>
      </c>
      <c r="F2302">
        <v>5210010105</v>
      </c>
      <c r="G2302" s="13">
        <v>1400</v>
      </c>
      <c r="I2302" t="s">
        <v>179</v>
      </c>
      <c r="J2302" t="s">
        <v>899</v>
      </c>
      <c r="K2302" t="s">
        <v>180</v>
      </c>
      <c r="L2302">
        <v>200015551</v>
      </c>
    </row>
    <row r="2303" spans="3:12">
      <c r="C2303">
        <v>2100300025</v>
      </c>
      <c r="D2303">
        <v>6426000</v>
      </c>
      <c r="E2303" t="s">
        <v>188</v>
      </c>
      <c r="F2303">
        <v>5210010105</v>
      </c>
      <c r="G2303" s="13">
        <v>12186</v>
      </c>
      <c r="I2303" t="s">
        <v>179</v>
      </c>
      <c r="J2303" t="s">
        <v>899</v>
      </c>
      <c r="K2303" t="s">
        <v>180</v>
      </c>
      <c r="L2303">
        <v>200015552</v>
      </c>
    </row>
    <row r="2304" spans="3:12">
      <c r="C2304">
        <v>2100300025</v>
      </c>
      <c r="D2304">
        <v>6426000</v>
      </c>
      <c r="E2304" t="s">
        <v>188</v>
      </c>
      <c r="F2304">
        <v>5210010105</v>
      </c>
      <c r="G2304" s="13">
        <v>7756</v>
      </c>
      <c r="I2304" t="s">
        <v>179</v>
      </c>
      <c r="J2304" t="s">
        <v>899</v>
      </c>
      <c r="K2304" t="s">
        <v>180</v>
      </c>
      <c r="L2304">
        <v>200015553</v>
      </c>
    </row>
    <row r="2305" spans="3:12">
      <c r="C2305">
        <v>2100300025</v>
      </c>
      <c r="D2305">
        <v>6426000</v>
      </c>
      <c r="E2305" t="s">
        <v>188</v>
      </c>
      <c r="F2305">
        <v>5210010105</v>
      </c>
      <c r="G2305" s="13">
        <v>6300</v>
      </c>
      <c r="I2305" t="s">
        <v>179</v>
      </c>
      <c r="J2305" t="s">
        <v>899</v>
      </c>
      <c r="K2305" t="s">
        <v>180</v>
      </c>
      <c r="L2305">
        <v>200015554</v>
      </c>
    </row>
    <row r="2306" spans="3:12">
      <c r="C2306">
        <v>2100300025</v>
      </c>
      <c r="D2306">
        <v>6426000</v>
      </c>
      <c r="E2306" t="s">
        <v>188</v>
      </c>
      <c r="F2306">
        <v>5210010105</v>
      </c>
      <c r="G2306" s="13">
        <v>2621.5</v>
      </c>
      <c r="I2306" t="s">
        <v>179</v>
      </c>
      <c r="J2306" t="s">
        <v>900</v>
      </c>
      <c r="K2306" t="s">
        <v>180</v>
      </c>
      <c r="L2306">
        <v>200015443</v>
      </c>
    </row>
    <row r="2307" spans="3:12">
      <c r="C2307">
        <v>2100300025</v>
      </c>
      <c r="D2307">
        <v>6426000</v>
      </c>
      <c r="E2307" t="s">
        <v>188</v>
      </c>
      <c r="F2307">
        <v>5210010105</v>
      </c>
      <c r="G2307" s="13">
        <v>2100</v>
      </c>
      <c r="I2307" t="s">
        <v>179</v>
      </c>
      <c r="J2307" t="s">
        <v>891</v>
      </c>
      <c r="K2307" t="s">
        <v>180</v>
      </c>
      <c r="L2307">
        <v>200012634</v>
      </c>
    </row>
    <row r="2308" spans="3:12">
      <c r="C2308">
        <v>2100300025</v>
      </c>
      <c r="D2308">
        <v>6426000</v>
      </c>
      <c r="E2308" t="s">
        <v>188</v>
      </c>
      <c r="F2308">
        <v>5210010105</v>
      </c>
      <c r="G2308" s="13">
        <v>12830</v>
      </c>
      <c r="I2308" t="s">
        <v>179</v>
      </c>
      <c r="J2308" t="s">
        <v>899</v>
      </c>
      <c r="K2308" t="s">
        <v>180</v>
      </c>
      <c r="L2308">
        <v>200000590</v>
      </c>
    </row>
    <row r="2309" spans="3:12">
      <c r="C2309">
        <v>2100300025</v>
      </c>
      <c r="D2309">
        <v>6426000</v>
      </c>
      <c r="E2309" t="s">
        <v>188</v>
      </c>
      <c r="F2309">
        <v>5210010105</v>
      </c>
      <c r="G2309">
        <v>256.8</v>
      </c>
      <c r="I2309" t="s">
        <v>179</v>
      </c>
      <c r="J2309" t="s">
        <v>900</v>
      </c>
      <c r="K2309" t="s">
        <v>180</v>
      </c>
      <c r="L2309">
        <v>200001027</v>
      </c>
    </row>
    <row r="2310" spans="3:12">
      <c r="C2310">
        <v>2100300025</v>
      </c>
      <c r="D2310">
        <v>6426000</v>
      </c>
      <c r="E2310" t="s">
        <v>188</v>
      </c>
      <c r="F2310">
        <v>5210010105</v>
      </c>
      <c r="G2310">
        <v>720</v>
      </c>
      <c r="I2310" t="s">
        <v>179</v>
      </c>
      <c r="J2310" t="s">
        <v>900</v>
      </c>
      <c r="K2310" t="s">
        <v>180</v>
      </c>
      <c r="L2310">
        <v>200001028</v>
      </c>
    </row>
    <row r="2311" spans="3:12">
      <c r="C2311">
        <v>2100300025</v>
      </c>
      <c r="D2311">
        <v>6426000</v>
      </c>
      <c r="E2311" t="s">
        <v>188</v>
      </c>
      <c r="F2311">
        <v>5210010105</v>
      </c>
      <c r="G2311" s="13">
        <v>10821.98</v>
      </c>
      <c r="I2311" t="s">
        <v>179</v>
      </c>
      <c r="J2311" t="s">
        <v>900</v>
      </c>
      <c r="K2311" t="s">
        <v>180</v>
      </c>
      <c r="L2311">
        <v>200001029</v>
      </c>
    </row>
    <row r="2312" spans="3:12">
      <c r="C2312">
        <v>2100300025</v>
      </c>
      <c r="D2312">
        <v>6426000</v>
      </c>
      <c r="E2312" t="s">
        <v>188</v>
      </c>
      <c r="F2312">
        <v>5210010105</v>
      </c>
      <c r="G2312">
        <v>915.92</v>
      </c>
      <c r="I2312" t="s">
        <v>179</v>
      </c>
      <c r="J2312" t="s">
        <v>900</v>
      </c>
      <c r="K2312" t="s">
        <v>180</v>
      </c>
      <c r="L2312">
        <v>200001030</v>
      </c>
    </row>
    <row r="2313" spans="3:12">
      <c r="C2313">
        <v>2100300025</v>
      </c>
      <c r="D2313">
        <v>6426000</v>
      </c>
      <c r="E2313" t="s">
        <v>188</v>
      </c>
      <c r="F2313">
        <v>5210010105</v>
      </c>
      <c r="G2313" s="13">
        <v>51231.6</v>
      </c>
      <c r="I2313" t="s">
        <v>179</v>
      </c>
      <c r="J2313" t="s">
        <v>900</v>
      </c>
      <c r="K2313" t="s">
        <v>180</v>
      </c>
      <c r="L2313">
        <v>200001031</v>
      </c>
    </row>
    <row r="2314" spans="3:12">
      <c r="C2314">
        <v>2100300025</v>
      </c>
      <c r="D2314">
        <v>6426000</v>
      </c>
      <c r="E2314" t="s">
        <v>188</v>
      </c>
      <c r="F2314">
        <v>5210010105</v>
      </c>
      <c r="G2314" s="13">
        <v>7490</v>
      </c>
      <c r="I2314" t="s">
        <v>179</v>
      </c>
      <c r="J2314" t="s">
        <v>900</v>
      </c>
      <c r="K2314" t="s">
        <v>180</v>
      </c>
      <c r="L2314">
        <v>200015441</v>
      </c>
    </row>
    <row r="2315" spans="3:12">
      <c r="C2315">
        <v>2100300025</v>
      </c>
      <c r="D2315">
        <v>6426000</v>
      </c>
      <c r="E2315" t="s">
        <v>188</v>
      </c>
      <c r="F2315">
        <v>5210010105</v>
      </c>
      <c r="G2315" s="13">
        <v>44298</v>
      </c>
      <c r="I2315" t="s">
        <v>179</v>
      </c>
      <c r="J2315" t="s">
        <v>900</v>
      </c>
      <c r="K2315" t="s">
        <v>180</v>
      </c>
      <c r="L2315">
        <v>200015442</v>
      </c>
    </row>
    <row r="2316" spans="3:12">
      <c r="C2316">
        <v>2100300025</v>
      </c>
      <c r="D2316">
        <v>6426000</v>
      </c>
      <c r="E2316" t="s">
        <v>188</v>
      </c>
      <c r="F2316">
        <v>5210010105</v>
      </c>
      <c r="G2316">
        <v>107</v>
      </c>
      <c r="I2316" t="s">
        <v>179</v>
      </c>
      <c r="J2316" t="s">
        <v>902</v>
      </c>
      <c r="K2316" t="s">
        <v>180</v>
      </c>
      <c r="L2316">
        <v>200025983</v>
      </c>
    </row>
    <row r="2317" spans="3:12">
      <c r="C2317">
        <v>2100300025</v>
      </c>
      <c r="D2317">
        <v>6426000</v>
      </c>
      <c r="E2317" t="s">
        <v>188</v>
      </c>
      <c r="F2317">
        <v>5210010105</v>
      </c>
      <c r="G2317" s="13">
        <v>17600</v>
      </c>
      <c r="I2317" t="s">
        <v>179</v>
      </c>
      <c r="J2317" t="s">
        <v>902</v>
      </c>
      <c r="K2317" t="s">
        <v>180</v>
      </c>
      <c r="L2317">
        <v>200025984</v>
      </c>
    </row>
    <row r="2318" spans="3:12">
      <c r="C2318">
        <v>2100300025</v>
      </c>
      <c r="D2318">
        <v>6426000</v>
      </c>
      <c r="E2318" t="s">
        <v>188</v>
      </c>
      <c r="F2318">
        <v>5210010105</v>
      </c>
      <c r="G2318">
        <v>540</v>
      </c>
      <c r="I2318" t="s">
        <v>179</v>
      </c>
      <c r="J2318" t="s">
        <v>902</v>
      </c>
      <c r="K2318" t="s">
        <v>180</v>
      </c>
      <c r="L2318">
        <v>200025985</v>
      </c>
    </row>
    <row r="2319" spans="3:12">
      <c r="C2319">
        <v>2100300025</v>
      </c>
      <c r="D2319">
        <v>6426000</v>
      </c>
      <c r="E2319" t="s">
        <v>188</v>
      </c>
      <c r="F2319">
        <v>5210010105</v>
      </c>
      <c r="G2319">
        <v>880</v>
      </c>
      <c r="I2319" t="s">
        <v>179</v>
      </c>
      <c r="J2319" t="s">
        <v>902</v>
      </c>
      <c r="K2319" t="s">
        <v>180</v>
      </c>
      <c r="L2319">
        <v>200025986</v>
      </c>
    </row>
    <row r="2320" spans="3:12">
      <c r="C2320">
        <v>2100300025</v>
      </c>
      <c r="D2320">
        <v>6426000</v>
      </c>
      <c r="E2320" t="s">
        <v>188</v>
      </c>
      <c r="F2320">
        <v>5210010105</v>
      </c>
      <c r="G2320" s="13">
        <v>18900</v>
      </c>
      <c r="I2320" t="s">
        <v>179</v>
      </c>
      <c r="J2320" t="s">
        <v>902</v>
      </c>
      <c r="K2320" t="s">
        <v>180</v>
      </c>
      <c r="L2320">
        <v>200024814</v>
      </c>
    </row>
    <row r="2321" spans="3:12">
      <c r="C2321">
        <v>2100300025</v>
      </c>
      <c r="D2321">
        <v>6426000</v>
      </c>
      <c r="E2321" t="s">
        <v>188</v>
      </c>
      <c r="F2321">
        <v>5210010105</v>
      </c>
      <c r="G2321" s="13">
        <v>12000</v>
      </c>
      <c r="I2321" t="s">
        <v>179</v>
      </c>
      <c r="J2321" t="s">
        <v>902</v>
      </c>
      <c r="K2321" t="s">
        <v>180</v>
      </c>
      <c r="L2321">
        <v>200025987</v>
      </c>
    </row>
    <row r="2322" spans="3:12">
      <c r="C2322">
        <v>2100300025</v>
      </c>
      <c r="D2322">
        <v>6426000</v>
      </c>
      <c r="E2322" t="s">
        <v>188</v>
      </c>
      <c r="F2322">
        <v>5210010105</v>
      </c>
      <c r="G2322" s="13">
        <v>44300</v>
      </c>
      <c r="I2322" t="s">
        <v>179</v>
      </c>
      <c r="J2322" t="s">
        <v>902</v>
      </c>
      <c r="K2322" t="s">
        <v>180</v>
      </c>
      <c r="L2322">
        <v>200025644</v>
      </c>
    </row>
    <row r="2323" spans="3:12">
      <c r="C2323">
        <v>2100300025</v>
      </c>
      <c r="D2323">
        <v>6426000</v>
      </c>
      <c r="E2323" t="s">
        <v>188</v>
      </c>
      <c r="F2323">
        <v>5210010105</v>
      </c>
      <c r="G2323" s="13">
        <v>7000</v>
      </c>
      <c r="I2323" t="s">
        <v>179</v>
      </c>
      <c r="J2323" t="s">
        <v>902</v>
      </c>
      <c r="K2323" t="s">
        <v>180</v>
      </c>
      <c r="L2323">
        <v>200025990</v>
      </c>
    </row>
    <row r="2324" spans="3:12">
      <c r="C2324">
        <v>2100300025</v>
      </c>
      <c r="D2324">
        <v>6426000</v>
      </c>
      <c r="E2324" t="s">
        <v>188</v>
      </c>
      <c r="F2324">
        <v>5210010105</v>
      </c>
      <c r="G2324" s="13">
        <v>39700</v>
      </c>
      <c r="I2324" t="s">
        <v>179</v>
      </c>
      <c r="J2324" t="s">
        <v>902</v>
      </c>
      <c r="K2324" t="s">
        <v>180</v>
      </c>
      <c r="L2324">
        <v>200025645</v>
      </c>
    </row>
    <row r="2325" spans="3:12">
      <c r="C2325">
        <v>2100300025</v>
      </c>
      <c r="D2325">
        <v>6426000</v>
      </c>
      <c r="E2325" t="s">
        <v>188</v>
      </c>
      <c r="F2325">
        <v>5210010105</v>
      </c>
      <c r="G2325" s="13">
        <v>255944</v>
      </c>
      <c r="I2325" t="s">
        <v>179</v>
      </c>
      <c r="J2325" t="s">
        <v>902</v>
      </c>
      <c r="K2325" t="s">
        <v>180</v>
      </c>
      <c r="L2325">
        <v>200024743</v>
      </c>
    </row>
    <row r="2326" spans="3:12">
      <c r="C2326">
        <v>2100300025</v>
      </c>
      <c r="D2326">
        <v>6426000</v>
      </c>
      <c r="E2326" t="s">
        <v>188</v>
      </c>
      <c r="F2326">
        <v>5210010105</v>
      </c>
      <c r="G2326" s="13">
        <v>143915</v>
      </c>
      <c r="I2326" t="s">
        <v>179</v>
      </c>
      <c r="J2326" t="s">
        <v>902</v>
      </c>
      <c r="K2326" t="s">
        <v>180</v>
      </c>
      <c r="L2326">
        <v>200025999</v>
      </c>
    </row>
    <row r="2327" spans="3:12">
      <c r="C2327">
        <v>2100300025</v>
      </c>
      <c r="D2327">
        <v>6426000</v>
      </c>
      <c r="E2327" t="s">
        <v>188</v>
      </c>
      <c r="F2327">
        <v>5210010105</v>
      </c>
      <c r="G2327" s="13">
        <v>9295</v>
      </c>
      <c r="I2327" t="s">
        <v>179</v>
      </c>
      <c r="J2327" t="s">
        <v>902</v>
      </c>
      <c r="K2327" t="s">
        <v>180</v>
      </c>
      <c r="L2327">
        <v>200026207</v>
      </c>
    </row>
    <row r="2328" spans="3:12">
      <c r="C2328">
        <v>2100300025</v>
      </c>
      <c r="D2328">
        <v>6426000</v>
      </c>
      <c r="E2328" t="s">
        <v>188</v>
      </c>
      <c r="F2328">
        <v>5210010105</v>
      </c>
      <c r="G2328" s="13">
        <v>2675</v>
      </c>
      <c r="I2328" t="s">
        <v>179</v>
      </c>
      <c r="J2328" t="s">
        <v>902</v>
      </c>
      <c r="K2328" t="s">
        <v>180</v>
      </c>
      <c r="L2328">
        <v>200024816</v>
      </c>
    </row>
    <row r="2329" spans="3:12">
      <c r="C2329">
        <v>2100300025</v>
      </c>
      <c r="D2329">
        <v>6426000</v>
      </c>
      <c r="E2329" t="s">
        <v>188</v>
      </c>
      <c r="F2329">
        <v>5210010105</v>
      </c>
      <c r="G2329" s="13">
        <v>45591</v>
      </c>
      <c r="I2329" t="s">
        <v>179</v>
      </c>
      <c r="J2329" t="s">
        <v>902</v>
      </c>
      <c r="K2329" t="s">
        <v>180</v>
      </c>
      <c r="L2329">
        <v>200024744</v>
      </c>
    </row>
    <row r="2330" spans="3:12">
      <c r="C2330">
        <v>2100300025</v>
      </c>
      <c r="D2330">
        <v>6426000</v>
      </c>
      <c r="E2330" t="s">
        <v>188</v>
      </c>
      <c r="F2330">
        <v>5210010105</v>
      </c>
      <c r="G2330" s="13">
        <v>9760</v>
      </c>
      <c r="I2330" t="s">
        <v>179</v>
      </c>
      <c r="J2330" t="s">
        <v>902</v>
      </c>
      <c r="K2330" t="s">
        <v>180</v>
      </c>
      <c r="L2330">
        <v>200024745</v>
      </c>
    </row>
    <row r="2331" spans="3:12">
      <c r="C2331">
        <v>2100300025</v>
      </c>
      <c r="D2331">
        <v>6426000</v>
      </c>
      <c r="E2331" t="s">
        <v>188</v>
      </c>
      <c r="F2331">
        <v>5210010105</v>
      </c>
      <c r="G2331" s="13">
        <v>1465</v>
      </c>
      <c r="I2331" t="s">
        <v>179</v>
      </c>
      <c r="J2331" t="s">
        <v>902</v>
      </c>
      <c r="K2331" t="s">
        <v>180</v>
      </c>
      <c r="L2331">
        <v>200025664</v>
      </c>
    </row>
    <row r="2332" spans="3:12">
      <c r="C2332">
        <v>2100300025</v>
      </c>
      <c r="D2332">
        <v>6426000</v>
      </c>
      <c r="E2332" t="s">
        <v>188</v>
      </c>
      <c r="F2332">
        <v>5210010105</v>
      </c>
      <c r="G2332" s="13">
        <v>3740</v>
      </c>
      <c r="I2332" t="s">
        <v>179</v>
      </c>
      <c r="J2332" t="s">
        <v>902</v>
      </c>
      <c r="K2332" t="s">
        <v>180</v>
      </c>
      <c r="L2332">
        <v>200024747</v>
      </c>
    </row>
    <row r="2333" spans="3:12">
      <c r="C2333">
        <v>2100300025</v>
      </c>
      <c r="D2333">
        <v>6426000</v>
      </c>
      <c r="E2333" t="s">
        <v>188</v>
      </c>
      <c r="F2333">
        <v>5210010105</v>
      </c>
      <c r="G2333" s="13">
        <v>1498</v>
      </c>
      <c r="I2333" t="s">
        <v>179</v>
      </c>
      <c r="J2333" t="s">
        <v>902</v>
      </c>
      <c r="K2333" t="s">
        <v>180</v>
      </c>
      <c r="L2333">
        <v>200025665</v>
      </c>
    </row>
    <row r="2334" spans="3:12">
      <c r="C2334">
        <v>2100300025</v>
      </c>
      <c r="D2334">
        <v>6426000</v>
      </c>
      <c r="E2334" t="s">
        <v>188</v>
      </c>
      <c r="F2334">
        <v>5210010105</v>
      </c>
      <c r="G2334" s="13">
        <v>3550</v>
      </c>
      <c r="I2334" t="s">
        <v>179</v>
      </c>
      <c r="J2334" t="s">
        <v>902</v>
      </c>
      <c r="K2334" t="s">
        <v>180</v>
      </c>
      <c r="L2334">
        <v>200026218</v>
      </c>
    </row>
    <row r="2335" spans="3:12">
      <c r="C2335">
        <v>2100300025</v>
      </c>
      <c r="D2335">
        <v>6426000</v>
      </c>
      <c r="E2335" t="s">
        <v>188</v>
      </c>
      <c r="F2335">
        <v>5210010105</v>
      </c>
      <c r="G2335" s="13">
        <v>1117</v>
      </c>
      <c r="I2335" t="s">
        <v>179</v>
      </c>
      <c r="J2335" t="s">
        <v>903</v>
      </c>
      <c r="K2335" t="s">
        <v>180</v>
      </c>
      <c r="L2335">
        <v>200027539</v>
      </c>
    </row>
    <row r="2336" spans="3:12">
      <c r="C2336">
        <v>2100300025</v>
      </c>
      <c r="D2336">
        <v>6426000</v>
      </c>
      <c r="E2336" t="s">
        <v>188</v>
      </c>
      <c r="F2336">
        <v>5210010105</v>
      </c>
      <c r="G2336">
        <v>166</v>
      </c>
      <c r="I2336" t="s">
        <v>179</v>
      </c>
      <c r="J2336" t="s">
        <v>903</v>
      </c>
      <c r="K2336" t="s">
        <v>180</v>
      </c>
      <c r="L2336">
        <v>200027540</v>
      </c>
    </row>
    <row r="2337" spans="3:12">
      <c r="C2337">
        <v>2100300025</v>
      </c>
      <c r="D2337">
        <v>6426000</v>
      </c>
      <c r="E2337" t="s">
        <v>188</v>
      </c>
      <c r="F2337">
        <v>5210010105</v>
      </c>
      <c r="G2337" s="13">
        <v>2000</v>
      </c>
      <c r="I2337" t="s">
        <v>179</v>
      </c>
      <c r="J2337" t="s">
        <v>903</v>
      </c>
      <c r="K2337" t="s">
        <v>180</v>
      </c>
      <c r="L2337">
        <v>200027541</v>
      </c>
    </row>
    <row r="2338" spans="3:12">
      <c r="C2338">
        <v>2100300025</v>
      </c>
      <c r="D2338">
        <v>6426000</v>
      </c>
      <c r="E2338" t="s">
        <v>188</v>
      </c>
      <c r="F2338">
        <v>5210010105</v>
      </c>
      <c r="G2338" s="13">
        <v>15729</v>
      </c>
      <c r="I2338" t="s">
        <v>179</v>
      </c>
      <c r="J2338" t="s">
        <v>903</v>
      </c>
      <c r="K2338" t="s">
        <v>180</v>
      </c>
      <c r="L2338">
        <v>200027542</v>
      </c>
    </row>
    <row r="2339" spans="3:12">
      <c r="C2339">
        <v>2100300025</v>
      </c>
      <c r="D2339">
        <v>6426000</v>
      </c>
      <c r="E2339" t="s">
        <v>188</v>
      </c>
      <c r="F2339">
        <v>5210010105</v>
      </c>
      <c r="G2339" s="13">
        <v>80250</v>
      </c>
      <c r="I2339" t="s">
        <v>179</v>
      </c>
      <c r="J2339" t="s">
        <v>555</v>
      </c>
      <c r="K2339" t="s">
        <v>180</v>
      </c>
      <c r="L2339">
        <v>200029914</v>
      </c>
    </row>
    <row r="2340" spans="3:12">
      <c r="C2340">
        <v>2100300025</v>
      </c>
      <c r="D2340">
        <v>6426000</v>
      </c>
      <c r="E2340" t="s">
        <v>188</v>
      </c>
      <c r="F2340">
        <v>5210010105</v>
      </c>
      <c r="G2340" s="13">
        <v>1270479.68</v>
      </c>
      <c r="I2340" t="s">
        <v>179</v>
      </c>
      <c r="J2340" t="s">
        <v>555</v>
      </c>
      <c r="K2340" t="s">
        <v>180</v>
      </c>
      <c r="L2340">
        <v>200029791</v>
      </c>
    </row>
    <row r="2341" spans="3:12">
      <c r="C2341">
        <v>2100300025</v>
      </c>
      <c r="D2341">
        <v>6426000</v>
      </c>
      <c r="E2341" t="s">
        <v>188</v>
      </c>
      <c r="F2341">
        <v>5210010105</v>
      </c>
      <c r="G2341" s="13">
        <v>36266</v>
      </c>
      <c r="I2341" t="s">
        <v>179</v>
      </c>
      <c r="J2341" t="s">
        <v>555</v>
      </c>
      <c r="K2341" t="s">
        <v>180</v>
      </c>
      <c r="L2341">
        <v>200029792</v>
      </c>
    </row>
    <row r="2342" spans="3:12">
      <c r="C2342">
        <v>2100300025</v>
      </c>
      <c r="D2342">
        <v>6426000</v>
      </c>
      <c r="E2342" t="s">
        <v>188</v>
      </c>
      <c r="F2342">
        <v>5210010105</v>
      </c>
      <c r="G2342" s="13">
        <v>17188.2</v>
      </c>
      <c r="I2342" t="s">
        <v>179</v>
      </c>
      <c r="J2342" t="s">
        <v>555</v>
      </c>
      <c r="K2342" t="s">
        <v>180</v>
      </c>
      <c r="L2342">
        <v>200029793</v>
      </c>
    </row>
    <row r="2343" spans="3:12">
      <c r="C2343">
        <v>2100300025</v>
      </c>
      <c r="D2343">
        <v>6426000</v>
      </c>
      <c r="E2343" t="s">
        <v>188</v>
      </c>
      <c r="F2343">
        <v>5210010105</v>
      </c>
      <c r="G2343" s="13">
        <v>36488</v>
      </c>
      <c r="I2343" t="s">
        <v>179</v>
      </c>
      <c r="J2343" t="s">
        <v>555</v>
      </c>
      <c r="K2343" t="s">
        <v>180</v>
      </c>
      <c r="L2343">
        <v>200029794</v>
      </c>
    </row>
    <row r="2344" spans="3:12">
      <c r="C2344">
        <v>2100300025</v>
      </c>
      <c r="D2344">
        <v>6426000</v>
      </c>
      <c r="E2344" t="s">
        <v>188</v>
      </c>
      <c r="F2344">
        <v>5210010105</v>
      </c>
      <c r="G2344" s="13">
        <v>466911.34</v>
      </c>
      <c r="I2344" t="s">
        <v>179</v>
      </c>
      <c r="J2344" t="s">
        <v>555</v>
      </c>
      <c r="K2344" t="s">
        <v>180</v>
      </c>
      <c r="L2344">
        <v>200029931</v>
      </c>
    </row>
    <row r="2345" spans="3:12">
      <c r="C2345">
        <v>2100300025</v>
      </c>
      <c r="D2345">
        <v>6426000</v>
      </c>
      <c r="E2345" t="s">
        <v>188</v>
      </c>
      <c r="F2345">
        <v>5210010105</v>
      </c>
      <c r="G2345" s="13">
        <v>11703.68</v>
      </c>
      <c r="I2345" t="s">
        <v>179</v>
      </c>
      <c r="J2345" t="s">
        <v>555</v>
      </c>
      <c r="K2345" t="s">
        <v>180</v>
      </c>
      <c r="L2345">
        <v>200029532</v>
      </c>
    </row>
    <row r="2346" spans="3:12">
      <c r="C2346">
        <v>2100300025</v>
      </c>
      <c r="D2346">
        <v>6426000</v>
      </c>
      <c r="E2346" t="s">
        <v>188</v>
      </c>
      <c r="F2346">
        <v>5210010105</v>
      </c>
      <c r="G2346" s="13">
        <v>24366</v>
      </c>
      <c r="I2346" t="s">
        <v>179</v>
      </c>
      <c r="J2346" t="s">
        <v>555</v>
      </c>
      <c r="K2346" t="s">
        <v>180</v>
      </c>
      <c r="L2346">
        <v>200020075</v>
      </c>
    </row>
    <row r="2347" spans="3:12">
      <c r="C2347">
        <v>2100300025</v>
      </c>
      <c r="D2347">
        <v>6426000</v>
      </c>
      <c r="E2347" t="s">
        <v>188</v>
      </c>
      <c r="F2347">
        <v>5210010105</v>
      </c>
      <c r="G2347" s="13">
        <v>52000</v>
      </c>
      <c r="I2347" t="s">
        <v>179</v>
      </c>
      <c r="J2347" t="s">
        <v>904</v>
      </c>
      <c r="K2347" t="s">
        <v>180</v>
      </c>
      <c r="L2347">
        <v>200026855</v>
      </c>
    </row>
    <row r="2348" spans="3:12">
      <c r="C2348">
        <v>2100300025</v>
      </c>
      <c r="D2348">
        <v>6426000</v>
      </c>
      <c r="E2348" t="s">
        <v>188</v>
      </c>
      <c r="F2348">
        <v>5210010105</v>
      </c>
      <c r="G2348" s="13">
        <v>18000</v>
      </c>
      <c r="I2348" t="s">
        <v>179</v>
      </c>
      <c r="J2348" t="s">
        <v>904</v>
      </c>
      <c r="K2348" t="s">
        <v>180</v>
      </c>
      <c r="L2348">
        <v>200026936</v>
      </c>
    </row>
    <row r="2349" spans="3:12">
      <c r="C2349">
        <v>2100300025</v>
      </c>
      <c r="D2349">
        <v>6426000</v>
      </c>
      <c r="E2349" t="s">
        <v>188</v>
      </c>
      <c r="F2349">
        <v>5210010105</v>
      </c>
      <c r="G2349" s="13">
        <v>23330</v>
      </c>
      <c r="I2349" t="s">
        <v>179</v>
      </c>
      <c r="J2349" t="s">
        <v>904</v>
      </c>
      <c r="K2349" t="s">
        <v>180</v>
      </c>
      <c r="L2349">
        <v>200027039</v>
      </c>
    </row>
    <row r="2350" spans="3:12">
      <c r="C2350">
        <v>2100300025</v>
      </c>
      <c r="D2350">
        <v>6426000</v>
      </c>
      <c r="E2350" t="s">
        <v>188</v>
      </c>
      <c r="F2350">
        <v>5210010105</v>
      </c>
      <c r="G2350" s="13">
        <v>20000</v>
      </c>
      <c r="I2350" t="s">
        <v>179</v>
      </c>
      <c r="J2350" t="s">
        <v>904</v>
      </c>
      <c r="K2350" t="s">
        <v>180</v>
      </c>
      <c r="L2350">
        <v>200027040</v>
      </c>
    </row>
    <row r="2351" spans="3:12">
      <c r="C2351">
        <v>2100300025</v>
      </c>
      <c r="D2351">
        <v>6426000</v>
      </c>
      <c r="E2351" t="s">
        <v>188</v>
      </c>
      <c r="F2351">
        <v>5210010105</v>
      </c>
      <c r="G2351">
        <v>495</v>
      </c>
      <c r="I2351" t="s">
        <v>179</v>
      </c>
      <c r="J2351" t="s">
        <v>904</v>
      </c>
      <c r="K2351" t="s">
        <v>180</v>
      </c>
      <c r="L2351">
        <v>200027041</v>
      </c>
    </row>
    <row r="2352" spans="3:12">
      <c r="C2352">
        <v>2100300025</v>
      </c>
      <c r="D2352">
        <v>6426000</v>
      </c>
      <c r="E2352" t="s">
        <v>188</v>
      </c>
      <c r="F2352">
        <v>5210010105</v>
      </c>
      <c r="G2352" s="13">
        <v>228346</v>
      </c>
      <c r="I2352" t="s">
        <v>179</v>
      </c>
      <c r="J2352" t="s">
        <v>905</v>
      </c>
      <c r="K2352" t="s">
        <v>180</v>
      </c>
      <c r="L2352">
        <v>200027852</v>
      </c>
    </row>
    <row r="2353" spans="3:12">
      <c r="C2353">
        <v>2100300025</v>
      </c>
      <c r="D2353">
        <v>6426000</v>
      </c>
      <c r="E2353" t="s">
        <v>188</v>
      </c>
      <c r="F2353">
        <v>5210010105</v>
      </c>
      <c r="G2353" s="13">
        <v>487656</v>
      </c>
      <c r="I2353" t="s">
        <v>179</v>
      </c>
      <c r="J2353" t="s">
        <v>905</v>
      </c>
      <c r="K2353" t="s">
        <v>180</v>
      </c>
      <c r="L2353">
        <v>200029138</v>
      </c>
    </row>
    <row r="2354" spans="3:12">
      <c r="C2354">
        <v>2100300025</v>
      </c>
      <c r="D2354">
        <v>6426000</v>
      </c>
      <c r="E2354" t="s">
        <v>188</v>
      </c>
      <c r="F2354">
        <v>5210010105</v>
      </c>
      <c r="G2354" s="13">
        <v>198965.56</v>
      </c>
      <c r="I2354" t="s">
        <v>179</v>
      </c>
      <c r="J2354" t="s">
        <v>905</v>
      </c>
      <c r="K2354" t="s">
        <v>180</v>
      </c>
      <c r="L2354">
        <v>200029139</v>
      </c>
    </row>
    <row r="2355" spans="3:12">
      <c r="C2355">
        <v>2100300025</v>
      </c>
      <c r="D2355">
        <v>6426000</v>
      </c>
      <c r="E2355" t="s">
        <v>188</v>
      </c>
      <c r="F2355">
        <v>5210010105</v>
      </c>
      <c r="G2355" s="13">
        <v>6000</v>
      </c>
      <c r="I2355" t="s">
        <v>179</v>
      </c>
      <c r="J2355" t="s">
        <v>905</v>
      </c>
      <c r="K2355" t="s">
        <v>180</v>
      </c>
      <c r="L2355">
        <v>200029093</v>
      </c>
    </row>
    <row r="2356" spans="3:12">
      <c r="C2356">
        <v>2100300025</v>
      </c>
      <c r="D2356">
        <v>6426000</v>
      </c>
      <c r="E2356" t="s">
        <v>188</v>
      </c>
      <c r="F2356">
        <v>5210010105</v>
      </c>
      <c r="G2356" s="13">
        <v>7290</v>
      </c>
      <c r="I2356" t="s">
        <v>179</v>
      </c>
      <c r="J2356" t="s">
        <v>905</v>
      </c>
      <c r="K2356" t="s">
        <v>180</v>
      </c>
      <c r="L2356">
        <v>200029094</v>
      </c>
    </row>
    <row r="2357" spans="3:12">
      <c r="C2357">
        <v>2100300025</v>
      </c>
      <c r="D2357">
        <v>6426000</v>
      </c>
      <c r="E2357" t="s">
        <v>188</v>
      </c>
      <c r="F2357">
        <v>5210010105</v>
      </c>
      <c r="G2357" s="13">
        <v>850000</v>
      </c>
      <c r="I2357" t="s">
        <v>179</v>
      </c>
      <c r="J2357" t="s">
        <v>906</v>
      </c>
      <c r="K2357" t="s">
        <v>180</v>
      </c>
      <c r="L2357">
        <v>200025380</v>
      </c>
    </row>
    <row r="2358" spans="3:12">
      <c r="C2358">
        <v>2100300025</v>
      </c>
      <c r="D2358">
        <v>6426000</v>
      </c>
      <c r="E2358" t="s">
        <v>188</v>
      </c>
      <c r="F2358">
        <v>5210010105</v>
      </c>
      <c r="G2358" s="13">
        <v>2000</v>
      </c>
      <c r="I2358" t="s">
        <v>179</v>
      </c>
      <c r="J2358" t="s">
        <v>872</v>
      </c>
      <c r="K2358" t="s">
        <v>180</v>
      </c>
      <c r="L2358">
        <v>200032672</v>
      </c>
    </row>
    <row r="2359" spans="3:12">
      <c r="C2359">
        <v>2100300025</v>
      </c>
      <c r="D2359">
        <v>6426000</v>
      </c>
      <c r="E2359" t="s">
        <v>188</v>
      </c>
      <c r="F2359">
        <v>5210010105</v>
      </c>
      <c r="G2359" s="13">
        <v>2725</v>
      </c>
      <c r="I2359" t="s">
        <v>179</v>
      </c>
      <c r="J2359" t="s">
        <v>872</v>
      </c>
      <c r="K2359" t="s">
        <v>180</v>
      </c>
      <c r="L2359">
        <v>200032673</v>
      </c>
    </row>
    <row r="2360" spans="3:12">
      <c r="C2360">
        <v>2100300025</v>
      </c>
      <c r="D2360">
        <v>6426000</v>
      </c>
      <c r="E2360" t="s">
        <v>188</v>
      </c>
      <c r="F2360">
        <v>5210010105</v>
      </c>
      <c r="G2360" s="13">
        <v>1284</v>
      </c>
      <c r="I2360" t="s">
        <v>179</v>
      </c>
      <c r="J2360" t="s">
        <v>872</v>
      </c>
      <c r="K2360" t="s">
        <v>180</v>
      </c>
      <c r="L2360">
        <v>200032385</v>
      </c>
    </row>
    <row r="2361" spans="3:12">
      <c r="C2361">
        <v>2100300025</v>
      </c>
      <c r="D2361">
        <v>6426000</v>
      </c>
      <c r="E2361" t="s">
        <v>188</v>
      </c>
      <c r="F2361">
        <v>5210010105</v>
      </c>
      <c r="G2361" s="13">
        <v>2782</v>
      </c>
      <c r="I2361" t="s">
        <v>179</v>
      </c>
      <c r="J2361" t="s">
        <v>872</v>
      </c>
      <c r="K2361" t="s">
        <v>180</v>
      </c>
      <c r="L2361">
        <v>200032920</v>
      </c>
    </row>
    <row r="2362" spans="3:12">
      <c r="C2362">
        <v>2100300025</v>
      </c>
      <c r="D2362">
        <v>6426000</v>
      </c>
      <c r="E2362" t="s">
        <v>188</v>
      </c>
      <c r="F2362">
        <v>5210010105</v>
      </c>
      <c r="G2362" s="13">
        <v>1323</v>
      </c>
      <c r="I2362" t="s">
        <v>179</v>
      </c>
      <c r="J2362" t="s">
        <v>872</v>
      </c>
      <c r="K2362" t="s">
        <v>180</v>
      </c>
      <c r="L2362">
        <v>200032674</v>
      </c>
    </row>
    <row r="2363" spans="3:12">
      <c r="C2363">
        <v>2100300025</v>
      </c>
      <c r="D2363">
        <v>6426000</v>
      </c>
      <c r="E2363" t="s">
        <v>188</v>
      </c>
      <c r="F2363">
        <v>5210010105</v>
      </c>
      <c r="G2363" s="13">
        <v>1892</v>
      </c>
      <c r="I2363" t="s">
        <v>179</v>
      </c>
      <c r="J2363" t="s">
        <v>872</v>
      </c>
      <c r="K2363" t="s">
        <v>180</v>
      </c>
      <c r="L2363">
        <v>200032396</v>
      </c>
    </row>
    <row r="2364" spans="3:12">
      <c r="C2364">
        <v>2100300025</v>
      </c>
      <c r="D2364">
        <v>6426000</v>
      </c>
      <c r="E2364" t="s">
        <v>188</v>
      </c>
      <c r="F2364">
        <v>5210010105</v>
      </c>
      <c r="G2364" s="13">
        <v>2000</v>
      </c>
      <c r="I2364" t="s">
        <v>179</v>
      </c>
      <c r="J2364" t="s">
        <v>872</v>
      </c>
      <c r="K2364" t="s">
        <v>180</v>
      </c>
      <c r="L2364">
        <v>200027898</v>
      </c>
    </row>
    <row r="2365" spans="3:12">
      <c r="C2365">
        <v>2100300025</v>
      </c>
      <c r="D2365">
        <v>6426000</v>
      </c>
      <c r="E2365" t="s">
        <v>188</v>
      </c>
      <c r="F2365">
        <v>5210010105</v>
      </c>
      <c r="G2365" s="13">
        <v>4100</v>
      </c>
      <c r="I2365" t="s">
        <v>179</v>
      </c>
      <c r="J2365" t="s">
        <v>872</v>
      </c>
      <c r="K2365" t="s">
        <v>180</v>
      </c>
      <c r="L2365">
        <v>200032923</v>
      </c>
    </row>
    <row r="2366" spans="3:12">
      <c r="C2366">
        <v>2100300025</v>
      </c>
      <c r="D2366">
        <v>6426000</v>
      </c>
      <c r="E2366" t="s">
        <v>188</v>
      </c>
      <c r="F2366">
        <v>5210010105</v>
      </c>
      <c r="G2366" s="13">
        <v>2340</v>
      </c>
      <c r="I2366" t="s">
        <v>179</v>
      </c>
      <c r="J2366" t="s">
        <v>872</v>
      </c>
      <c r="K2366" t="s">
        <v>180</v>
      </c>
      <c r="L2366">
        <v>200033002</v>
      </c>
    </row>
    <row r="2367" spans="3:12">
      <c r="C2367">
        <v>2100300025</v>
      </c>
      <c r="D2367">
        <v>6426000</v>
      </c>
      <c r="E2367" t="s">
        <v>188</v>
      </c>
      <c r="F2367">
        <v>5210010105</v>
      </c>
      <c r="G2367" s="13">
        <v>68545.5</v>
      </c>
      <c r="I2367" t="s">
        <v>179</v>
      </c>
      <c r="J2367" t="s">
        <v>906</v>
      </c>
      <c r="K2367" t="s">
        <v>180</v>
      </c>
      <c r="L2367">
        <v>200027002</v>
      </c>
    </row>
    <row r="2368" spans="3:12">
      <c r="C2368">
        <v>2100300025</v>
      </c>
      <c r="D2368">
        <v>6426000</v>
      </c>
      <c r="E2368" t="s">
        <v>188</v>
      </c>
      <c r="F2368">
        <v>5210010105</v>
      </c>
      <c r="G2368" s="13">
        <v>4500</v>
      </c>
      <c r="I2368" t="s">
        <v>179</v>
      </c>
      <c r="J2368" t="s">
        <v>906</v>
      </c>
      <c r="K2368" t="s">
        <v>180</v>
      </c>
      <c r="L2368">
        <v>200026902</v>
      </c>
    </row>
    <row r="2369" spans="3:12">
      <c r="C2369">
        <v>2100300025</v>
      </c>
      <c r="D2369">
        <v>6426000</v>
      </c>
      <c r="E2369" t="s">
        <v>188</v>
      </c>
      <c r="F2369">
        <v>5210010105</v>
      </c>
      <c r="G2369" s="13">
        <v>8960</v>
      </c>
      <c r="I2369" t="s">
        <v>179</v>
      </c>
      <c r="J2369" t="s">
        <v>906</v>
      </c>
      <c r="K2369" t="s">
        <v>180</v>
      </c>
      <c r="L2369">
        <v>200026815</v>
      </c>
    </row>
    <row r="2370" spans="3:12">
      <c r="C2370">
        <v>2100300025</v>
      </c>
      <c r="D2370">
        <v>6426000</v>
      </c>
      <c r="E2370" t="s">
        <v>188</v>
      </c>
      <c r="F2370">
        <v>5210010105</v>
      </c>
      <c r="G2370" s="13">
        <v>6300</v>
      </c>
      <c r="I2370" t="s">
        <v>179</v>
      </c>
      <c r="J2370" t="s">
        <v>906</v>
      </c>
      <c r="K2370" t="s">
        <v>180</v>
      </c>
      <c r="L2370">
        <v>200026903</v>
      </c>
    </row>
    <row r="2371" spans="3:12">
      <c r="C2371">
        <v>2100300025</v>
      </c>
      <c r="D2371">
        <v>6426000</v>
      </c>
      <c r="E2371" t="s">
        <v>188</v>
      </c>
      <c r="F2371">
        <v>5210010105</v>
      </c>
      <c r="G2371" s="13">
        <v>24103.55</v>
      </c>
      <c r="I2371" t="s">
        <v>179</v>
      </c>
      <c r="J2371" t="s">
        <v>906</v>
      </c>
      <c r="K2371" t="s">
        <v>180</v>
      </c>
      <c r="L2371">
        <v>200026904</v>
      </c>
    </row>
    <row r="2372" spans="3:12">
      <c r="C2372">
        <v>2100300025</v>
      </c>
      <c r="D2372">
        <v>6426000</v>
      </c>
      <c r="E2372" t="s">
        <v>188</v>
      </c>
      <c r="F2372">
        <v>5210010105</v>
      </c>
      <c r="G2372" s="13">
        <v>2880</v>
      </c>
      <c r="I2372" t="s">
        <v>179</v>
      </c>
      <c r="J2372" t="s">
        <v>906</v>
      </c>
      <c r="K2372" t="s">
        <v>180</v>
      </c>
      <c r="L2372">
        <v>200026905</v>
      </c>
    </row>
    <row r="2373" spans="3:12">
      <c r="C2373">
        <v>2100300025</v>
      </c>
      <c r="D2373">
        <v>6426000</v>
      </c>
      <c r="E2373" t="s">
        <v>188</v>
      </c>
      <c r="F2373">
        <v>5210010105</v>
      </c>
      <c r="G2373" s="13">
        <v>2855</v>
      </c>
      <c r="I2373" t="s">
        <v>179</v>
      </c>
      <c r="J2373" t="s">
        <v>906</v>
      </c>
      <c r="K2373" t="s">
        <v>180</v>
      </c>
      <c r="L2373">
        <v>200026727</v>
      </c>
    </row>
    <row r="2374" spans="3:12">
      <c r="C2374">
        <v>2100300025</v>
      </c>
      <c r="D2374">
        <v>6426000</v>
      </c>
      <c r="E2374" t="s">
        <v>188</v>
      </c>
      <c r="F2374">
        <v>5210010105</v>
      </c>
      <c r="G2374" s="13">
        <v>5000</v>
      </c>
      <c r="I2374" t="s">
        <v>179</v>
      </c>
      <c r="J2374" t="s">
        <v>906</v>
      </c>
      <c r="K2374" t="s">
        <v>180</v>
      </c>
      <c r="L2374">
        <v>200026737</v>
      </c>
    </row>
    <row r="2375" spans="3:12">
      <c r="C2375">
        <v>2100300025</v>
      </c>
      <c r="D2375">
        <v>6426000</v>
      </c>
      <c r="E2375" t="s">
        <v>188</v>
      </c>
      <c r="F2375">
        <v>5210010105</v>
      </c>
      <c r="G2375" s="13">
        <v>53200</v>
      </c>
      <c r="I2375" t="s">
        <v>179</v>
      </c>
      <c r="J2375" t="s">
        <v>906</v>
      </c>
      <c r="K2375" t="s">
        <v>180</v>
      </c>
      <c r="L2375">
        <v>200027103</v>
      </c>
    </row>
    <row r="2376" spans="3:12">
      <c r="C2376">
        <v>2100300025</v>
      </c>
      <c r="D2376">
        <v>6426000</v>
      </c>
      <c r="E2376" t="s">
        <v>188</v>
      </c>
      <c r="F2376">
        <v>5210010105</v>
      </c>
      <c r="G2376">
        <v>750</v>
      </c>
      <c r="I2376" t="s">
        <v>179</v>
      </c>
      <c r="J2376" t="s">
        <v>906</v>
      </c>
      <c r="K2376" t="s">
        <v>180</v>
      </c>
      <c r="L2376">
        <v>200027104</v>
      </c>
    </row>
    <row r="2377" spans="3:12">
      <c r="C2377">
        <v>2100300025</v>
      </c>
      <c r="D2377">
        <v>6426000</v>
      </c>
      <c r="E2377" t="s">
        <v>188</v>
      </c>
      <c r="F2377">
        <v>5210010105</v>
      </c>
      <c r="G2377" s="13">
        <v>1422100</v>
      </c>
      <c r="I2377" t="s">
        <v>179</v>
      </c>
      <c r="J2377" t="s">
        <v>907</v>
      </c>
      <c r="K2377" t="s">
        <v>180</v>
      </c>
      <c r="L2377">
        <v>200027186</v>
      </c>
    </row>
    <row r="2378" spans="3:12">
      <c r="C2378">
        <v>2100300025</v>
      </c>
      <c r="D2378">
        <v>6426000</v>
      </c>
      <c r="E2378" t="s">
        <v>188</v>
      </c>
      <c r="F2378">
        <v>5210010105</v>
      </c>
      <c r="G2378" s="13">
        <v>10354</v>
      </c>
      <c r="I2378" t="s">
        <v>179</v>
      </c>
      <c r="J2378" t="s">
        <v>907</v>
      </c>
      <c r="K2378" t="s">
        <v>180</v>
      </c>
      <c r="L2378">
        <v>200028930</v>
      </c>
    </row>
    <row r="2379" spans="3:12">
      <c r="C2379">
        <v>2100300025</v>
      </c>
      <c r="D2379">
        <v>6426000</v>
      </c>
      <c r="E2379" t="s">
        <v>188</v>
      </c>
      <c r="F2379">
        <v>5210010105</v>
      </c>
      <c r="G2379" s="13">
        <v>11703.68</v>
      </c>
      <c r="I2379" t="s">
        <v>179</v>
      </c>
      <c r="J2379" t="s">
        <v>908</v>
      </c>
      <c r="K2379" t="s">
        <v>180</v>
      </c>
      <c r="L2379">
        <v>200032137</v>
      </c>
    </row>
    <row r="2380" spans="3:12">
      <c r="C2380">
        <v>2100300025</v>
      </c>
      <c r="D2380">
        <v>6426000</v>
      </c>
      <c r="E2380" t="s">
        <v>188</v>
      </c>
      <c r="F2380">
        <v>5210010105</v>
      </c>
      <c r="G2380" s="13">
        <v>2782</v>
      </c>
      <c r="I2380" t="s">
        <v>179</v>
      </c>
      <c r="J2380" t="s">
        <v>908</v>
      </c>
      <c r="K2380" t="s">
        <v>180</v>
      </c>
      <c r="L2380">
        <v>200032508</v>
      </c>
    </row>
    <row r="2381" spans="3:12">
      <c r="C2381">
        <v>2100300025</v>
      </c>
      <c r="D2381">
        <v>6426000</v>
      </c>
      <c r="E2381" t="s">
        <v>188</v>
      </c>
      <c r="F2381">
        <v>5210010105</v>
      </c>
      <c r="G2381">
        <v>551.04999999999995</v>
      </c>
      <c r="I2381" t="s">
        <v>179</v>
      </c>
      <c r="J2381" t="s">
        <v>908</v>
      </c>
      <c r="K2381" t="s">
        <v>180</v>
      </c>
      <c r="L2381">
        <v>200031245</v>
      </c>
    </row>
    <row r="2382" spans="3:12">
      <c r="C2382">
        <v>2100300025</v>
      </c>
      <c r="D2382">
        <v>6426000</v>
      </c>
      <c r="E2382" t="s">
        <v>188</v>
      </c>
      <c r="F2382">
        <v>5210010105</v>
      </c>
      <c r="G2382" s="13">
        <v>12840</v>
      </c>
      <c r="I2382" t="s">
        <v>179</v>
      </c>
      <c r="J2382" t="s">
        <v>909</v>
      </c>
      <c r="K2382" t="s">
        <v>180</v>
      </c>
      <c r="L2382">
        <v>200028395</v>
      </c>
    </row>
    <row r="2383" spans="3:12">
      <c r="C2383">
        <v>2100300025</v>
      </c>
      <c r="D2383">
        <v>6426000</v>
      </c>
      <c r="E2383" t="s">
        <v>188</v>
      </c>
      <c r="F2383">
        <v>5210010105</v>
      </c>
      <c r="G2383" s="13">
        <v>19900</v>
      </c>
      <c r="I2383" t="s">
        <v>179</v>
      </c>
      <c r="J2383" t="s">
        <v>909</v>
      </c>
      <c r="K2383" t="s">
        <v>180</v>
      </c>
      <c r="L2383">
        <v>200027646</v>
      </c>
    </row>
    <row r="2384" spans="3:12">
      <c r="C2384">
        <v>2100300025</v>
      </c>
      <c r="D2384">
        <v>6426000</v>
      </c>
      <c r="E2384" t="s">
        <v>188</v>
      </c>
      <c r="F2384">
        <v>5210010105</v>
      </c>
      <c r="G2384" s="13">
        <v>1560</v>
      </c>
      <c r="I2384" t="s">
        <v>179</v>
      </c>
      <c r="J2384" t="s">
        <v>910</v>
      </c>
      <c r="K2384" t="s">
        <v>180</v>
      </c>
      <c r="L2384">
        <v>200031566</v>
      </c>
    </row>
    <row r="2385" spans="3:12">
      <c r="C2385">
        <v>2100300025</v>
      </c>
      <c r="D2385">
        <v>6426000</v>
      </c>
      <c r="E2385" t="s">
        <v>188</v>
      </c>
      <c r="F2385">
        <v>5210010105</v>
      </c>
      <c r="G2385" s="13">
        <v>4000</v>
      </c>
      <c r="I2385" t="s">
        <v>179</v>
      </c>
      <c r="J2385" t="s">
        <v>910</v>
      </c>
      <c r="K2385" t="s">
        <v>180</v>
      </c>
      <c r="L2385">
        <v>200031724</v>
      </c>
    </row>
    <row r="2386" spans="3:12">
      <c r="C2386">
        <v>2100300025</v>
      </c>
      <c r="D2386">
        <v>6426000</v>
      </c>
      <c r="E2386" t="s">
        <v>188</v>
      </c>
      <c r="F2386">
        <v>5210010105</v>
      </c>
      <c r="G2386" s="13">
        <v>1070</v>
      </c>
      <c r="I2386" t="s">
        <v>179</v>
      </c>
      <c r="J2386" t="s">
        <v>910</v>
      </c>
      <c r="K2386" t="s">
        <v>180</v>
      </c>
      <c r="L2386">
        <v>200032107</v>
      </c>
    </row>
    <row r="2387" spans="3:12">
      <c r="C2387">
        <v>2100300025</v>
      </c>
      <c r="D2387">
        <v>6426000</v>
      </c>
      <c r="E2387" t="s">
        <v>188</v>
      </c>
      <c r="F2387">
        <v>5210010105</v>
      </c>
      <c r="G2387" s="13">
        <v>66655</v>
      </c>
      <c r="I2387" t="s">
        <v>179</v>
      </c>
      <c r="J2387" t="s">
        <v>910</v>
      </c>
      <c r="K2387" t="s">
        <v>180</v>
      </c>
      <c r="L2387">
        <v>200032108</v>
      </c>
    </row>
    <row r="2388" spans="3:12">
      <c r="C2388">
        <v>2100300025</v>
      </c>
      <c r="D2388">
        <v>6426000</v>
      </c>
      <c r="E2388" t="s">
        <v>188</v>
      </c>
      <c r="F2388">
        <v>5210010105</v>
      </c>
      <c r="G2388" s="13">
        <v>15260</v>
      </c>
      <c r="I2388" t="s">
        <v>179</v>
      </c>
      <c r="J2388" t="s">
        <v>911</v>
      </c>
      <c r="K2388" t="s">
        <v>180</v>
      </c>
      <c r="L2388">
        <v>200024828</v>
      </c>
    </row>
    <row r="2389" spans="3:12">
      <c r="C2389">
        <v>2100300025</v>
      </c>
      <c r="D2389">
        <v>6426000</v>
      </c>
      <c r="E2389" t="s">
        <v>188</v>
      </c>
      <c r="F2389">
        <v>5210010105</v>
      </c>
      <c r="G2389" s="13">
        <v>8288.98</v>
      </c>
      <c r="I2389" t="s">
        <v>179</v>
      </c>
      <c r="J2389" t="s">
        <v>911</v>
      </c>
      <c r="K2389" t="s">
        <v>180</v>
      </c>
      <c r="L2389">
        <v>200020042</v>
      </c>
    </row>
    <row r="2390" spans="3:12">
      <c r="C2390">
        <v>2100300025</v>
      </c>
      <c r="D2390">
        <v>6426000</v>
      </c>
      <c r="E2390" t="s">
        <v>188</v>
      </c>
      <c r="F2390">
        <v>5210010105</v>
      </c>
      <c r="G2390" s="13">
        <v>4800</v>
      </c>
      <c r="I2390" t="s">
        <v>179</v>
      </c>
      <c r="J2390" t="s">
        <v>911</v>
      </c>
      <c r="K2390" t="s">
        <v>180</v>
      </c>
      <c r="L2390">
        <v>200001047</v>
      </c>
    </row>
    <row r="2391" spans="3:12">
      <c r="C2391">
        <v>2100300025</v>
      </c>
      <c r="D2391">
        <v>6426000</v>
      </c>
      <c r="E2391" t="s">
        <v>188</v>
      </c>
      <c r="F2391">
        <v>5210010105</v>
      </c>
      <c r="G2391" s="13">
        <v>5700</v>
      </c>
      <c r="I2391" t="s">
        <v>179</v>
      </c>
      <c r="J2391" t="s">
        <v>911</v>
      </c>
      <c r="K2391" t="s">
        <v>180</v>
      </c>
      <c r="L2391">
        <v>200001048</v>
      </c>
    </row>
    <row r="2392" spans="3:12">
      <c r="C2392">
        <v>2100300025</v>
      </c>
      <c r="D2392">
        <v>6426000</v>
      </c>
      <c r="E2392" t="s">
        <v>188</v>
      </c>
      <c r="F2392">
        <v>5210010105</v>
      </c>
      <c r="G2392" s="13">
        <v>21000</v>
      </c>
      <c r="I2392" t="s">
        <v>179</v>
      </c>
      <c r="J2392" t="s">
        <v>822</v>
      </c>
      <c r="K2392" t="s">
        <v>180</v>
      </c>
      <c r="L2392">
        <v>200028323</v>
      </c>
    </row>
    <row r="2393" spans="3:12">
      <c r="C2393">
        <v>2100300025</v>
      </c>
      <c r="D2393">
        <v>6426000</v>
      </c>
      <c r="E2393" t="s">
        <v>188</v>
      </c>
      <c r="F2393">
        <v>5210010105</v>
      </c>
      <c r="G2393" s="13">
        <v>35000</v>
      </c>
      <c r="I2393" t="s">
        <v>179</v>
      </c>
      <c r="J2393" t="s">
        <v>822</v>
      </c>
      <c r="K2393" t="s">
        <v>180</v>
      </c>
      <c r="L2393">
        <v>200027786</v>
      </c>
    </row>
    <row r="2394" spans="3:12">
      <c r="C2394">
        <v>2100300025</v>
      </c>
      <c r="D2394">
        <v>6426000</v>
      </c>
      <c r="E2394" t="s">
        <v>188</v>
      </c>
      <c r="F2394">
        <v>5210010105</v>
      </c>
      <c r="G2394">
        <v>495</v>
      </c>
      <c r="I2394" t="s">
        <v>179</v>
      </c>
      <c r="J2394" t="s">
        <v>822</v>
      </c>
      <c r="K2394" t="s">
        <v>180</v>
      </c>
      <c r="L2394">
        <v>200027616</v>
      </c>
    </row>
    <row r="2395" spans="3:12">
      <c r="C2395">
        <v>2100300025</v>
      </c>
      <c r="D2395">
        <v>6426000</v>
      </c>
      <c r="E2395" t="s">
        <v>188</v>
      </c>
      <c r="F2395">
        <v>5210010105</v>
      </c>
      <c r="G2395" s="13">
        <v>4000</v>
      </c>
      <c r="I2395" t="s">
        <v>179</v>
      </c>
      <c r="J2395" t="s">
        <v>822</v>
      </c>
      <c r="K2395" t="s">
        <v>180</v>
      </c>
      <c r="L2395">
        <v>200027931</v>
      </c>
    </row>
    <row r="2396" spans="3:12">
      <c r="C2396">
        <v>2100300025</v>
      </c>
      <c r="D2396">
        <v>6426000</v>
      </c>
      <c r="E2396" t="s">
        <v>188</v>
      </c>
      <c r="F2396">
        <v>5210010105</v>
      </c>
      <c r="G2396" s="13">
        <v>4200</v>
      </c>
      <c r="I2396" t="s">
        <v>179</v>
      </c>
      <c r="J2396" t="s">
        <v>822</v>
      </c>
      <c r="K2396" t="s">
        <v>180</v>
      </c>
      <c r="L2396">
        <v>200028324</v>
      </c>
    </row>
    <row r="2397" spans="3:12">
      <c r="C2397">
        <v>2100300025</v>
      </c>
      <c r="D2397">
        <v>6426000</v>
      </c>
      <c r="E2397" t="s">
        <v>188</v>
      </c>
      <c r="F2397">
        <v>5210010105</v>
      </c>
      <c r="G2397">
        <v>375</v>
      </c>
      <c r="I2397" t="s">
        <v>179</v>
      </c>
      <c r="J2397" t="s">
        <v>822</v>
      </c>
      <c r="K2397" t="s">
        <v>180</v>
      </c>
      <c r="L2397">
        <v>200028325</v>
      </c>
    </row>
    <row r="2398" spans="3:12">
      <c r="C2398">
        <v>2100300025</v>
      </c>
      <c r="D2398">
        <v>6426000</v>
      </c>
      <c r="E2398" t="s">
        <v>188</v>
      </c>
      <c r="F2398">
        <v>5210010105</v>
      </c>
      <c r="G2398">
        <v>690</v>
      </c>
      <c r="I2398" t="s">
        <v>179</v>
      </c>
      <c r="J2398" t="s">
        <v>822</v>
      </c>
      <c r="K2398" t="s">
        <v>180</v>
      </c>
      <c r="L2398">
        <v>200028326</v>
      </c>
    </row>
    <row r="2399" spans="3:12">
      <c r="C2399">
        <v>2100300025</v>
      </c>
      <c r="D2399">
        <v>6426000</v>
      </c>
      <c r="E2399" t="s">
        <v>188</v>
      </c>
      <c r="F2399">
        <v>5210010105</v>
      </c>
      <c r="G2399" s="13">
        <v>1355</v>
      </c>
      <c r="I2399" t="s">
        <v>179</v>
      </c>
      <c r="J2399" t="s">
        <v>822</v>
      </c>
      <c r="K2399" t="s">
        <v>180</v>
      </c>
      <c r="L2399">
        <v>200027787</v>
      </c>
    </row>
    <row r="2400" spans="3:12">
      <c r="C2400">
        <v>2100300025</v>
      </c>
      <c r="D2400">
        <v>6426000</v>
      </c>
      <c r="E2400" t="s">
        <v>188</v>
      </c>
      <c r="F2400">
        <v>5210010105</v>
      </c>
      <c r="G2400" s="13">
        <v>2500</v>
      </c>
      <c r="I2400" t="s">
        <v>179</v>
      </c>
      <c r="J2400" t="s">
        <v>822</v>
      </c>
      <c r="K2400" t="s">
        <v>180</v>
      </c>
      <c r="L2400">
        <v>200027934</v>
      </c>
    </row>
    <row r="2401" spans="3:12">
      <c r="C2401">
        <v>2100300025</v>
      </c>
      <c r="D2401">
        <v>6426000</v>
      </c>
      <c r="E2401" t="s">
        <v>188</v>
      </c>
      <c r="F2401">
        <v>5210010105</v>
      </c>
      <c r="G2401" s="13">
        <v>3740</v>
      </c>
      <c r="I2401" t="s">
        <v>179</v>
      </c>
      <c r="J2401" t="s">
        <v>822</v>
      </c>
      <c r="K2401" t="s">
        <v>180</v>
      </c>
      <c r="L2401">
        <v>200027935</v>
      </c>
    </row>
    <row r="2402" spans="3:12">
      <c r="C2402">
        <v>2100300025</v>
      </c>
      <c r="D2402">
        <v>6426000</v>
      </c>
      <c r="E2402" t="s">
        <v>188</v>
      </c>
      <c r="F2402">
        <v>5210010105</v>
      </c>
      <c r="G2402" s="13">
        <v>3415</v>
      </c>
      <c r="I2402" t="s">
        <v>179</v>
      </c>
      <c r="J2402" t="s">
        <v>822</v>
      </c>
      <c r="K2402" t="s">
        <v>180</v>
      </c>
      <c r="L2402">
        <v>200028327</v>
      </c>
    </row>
    <row r="2403" spans="3:12">
      <c r="C2403">
        <v>2100300025</v>
      </c>
      <c r="D2403">
        <v>6426000</v>
      </c>
      <c r="E2403" t="s">
        <v>188</v>
      </c>
      <c r="F2403">
        <v>5210010105</v>
      </c>
      <c r="G2403" s="13">
        <v>6000</v>
      </c>
      <c r="I2403" t="s">
        <v>179</v>
      </c>
      <c r="J2403" t="s">
        <v>822</v>
      </c>
      <c r="K2403" t="s">
        <v>180</v>
      </c>
      <c r="L2403">
        <v>200028331</v>
      </c>
    </row>
    <row r="2404" spans="3:12">
      <c r="C2404">
        <v>2100300025</v>
      </c>
      <c r="D2404">
        <v>6426000</v>
      </c>
      <c r="E2404" t="s">
        <v>188</v>
      </c>
      <c r="F2404">
        <v>5210010105</v>
      </c>
      <c r="G2404" s="13">
        <v>4000</v>
      </c>
      <c r="I2404" t="s">
        <v>179</v>
      </c>
      <c r="J2404" t="s">
        <v>822</v>
      </c>
      <c r="K2404" t="s">
        <v>180</v>
      </c>
      <c r="L2404">
        <v>200027790</v>
      </c>
    </row>
    <row r="2405" spans="3:12">
      <c r="C2405">
        <v>2100300025</v>
      </c>
      <c r="D2405">
        <v>6426000</v>
      </c>
      <c r="E2405" t="s">
        <v>188</v>
      </c>
      <c r="F2405">
        <v>5210010105</v>
      </c>
      <c r="G2405">
        <v>925</v>
      </c>
      <c r="I2405" t="s">
        <v>179</v>
      </c>
      <c r="J2405" t="s">
        <v>822</v>
      </c>
      <c r="K2405" t="s">
        <v>180</v>
      </c>
      <c r="L2405">
        <v>200027366</v>
      </c>
    </row>
    <row r="2406" spans="3:12">
      <c r="C2406">
        <v>2100300025</v>
      </c>
      <c r="D2406">
        <v>6426000</v>
      </c>
      <c r="E2406" t="s">
        <v>188</v>
      </c>
      <c r="F2406">
        <v>5210010105</v>
      </c>
      <c r="G2406" s="13">
        <v>31111</v>
      </c>
      <c r="I2406" t="s">
        <v>179</v>
      </c>
      <c r="J2406" t="s">
        <v>822</v>
      </c>
      <c r="K2406" t="s">
        <v>180</v>
      </c>
      <c r="L2406">
        <v>200028271</v>
      </c>
    </row>
    <row r="2407" spans="3:12">
      <c r="C2407">
        <v>2100300025</v>
      </c>
      <c r="D2407">
        <v>6426000</v>
      </c>
      <c r="E2407" t="s">
        <v>188</v>
      </c>
      <c r="F2407">
        <v>5210010105</v>
      </c>
      <c r="G2407" s="13">
        <v>241991.2</v>
      </c>
      <c r="I2407" t="s">
        <v>179</v>
      </c>
      <c r="J2407" t="s">
        <v>567</v>
      </c>
      <c r="K2407" t="s">
        <v>180</v>
      </c>
      <c r="L2407">
        <v>200030996</v>
      </c>
    </row>
    <row r="2408" spans="3:12">
      <c r="C2408">
        <v>2100300025</v>
      </c>
      <c r="D2408">
        <v>6426000</v>
      </c>
      <c r="E2408" t="s">
        <v>188</v>
      </c>
      <c r="F2408">
        <v>5210010105</v>
      </c>
      <c r="G2408" s="13">
        <v>9112</v>
      </c>
      <c r="I2408" t="s">
        <v>179</v>
      </c>
      <c r="J2408" t="s">
        <v>567</v>
      </c>
      <c r="K2408" t="s">
        <v>180</v>
      </c>
      <c r="L2408">
        <v>200030734</v>
      </c>
    </row>
    <row r="2409" spans="3:12">
      <c r="C2409">
        <v>2100300025</v>
      </c>
      <c r="D2409">
        <v>6426000</v>
      </c>
      <c r="E2409" t="s">
        <v>188</v>
      </c>
      <c r="F2409">
        <v>5210010105</v>
      </c>
      <c r="G2409" s="13">
        <v>59928.5</v>
      </c>
      <c r="I2409" t="s">
        <v>179</v>
      </c>
      <c r="J2409" t="s">
        <v>567</v>
      </c>
      <c r="K2409" t="s">
        <v>180</v>
      </c>
      <c r="L2409">
        <v>200030735</v>
      </c>
    </row>
    <row r="2410" spans="3:12">
      <c r="C2410">
        <v>2100300025</v>
      </c>
      <c r="D2410">
        <v>6426000</v>
      </c>
      <c r="E2410" t="s">
        <v>188</v>
      </c>
      <c r="F2410">
        <v>5210010105</v>
      </c>
      <c r="G2410" s="13">
        <v>5564</v>
      </c>
      <c r="I2410" t="s">
        <v>179</v>
      </c>
      <c r="J2410" t="s">
        <v>900</v>
      </c>
      <c r="K2410" t="s">
        <v>180</v>
      </c>
      <c r="L2410">
        <v>200016415</v>
      </c>
    </row>
    <row r="2411" spans="3:12">
      <c r="C2411">
        <v>2100300025</v>
      </c>
      <c r="D2411">
        <v>6426000</v>
      </c>
      <c r="E2411" t="s">
        <v>188</v>
      </c>
      <c r="F2411">
        <v>5210010105</v>
      </c>
      <c r="G2411" s="13">
        <v>8000</v>
      </c>
      <c r="I2411" t="s">
        <v>179</v>
      </c>
      <c r="J2411" t="s">
        <v>900</v>
      </c>
      <c r="K2411" t="s">
        <v>180</v>
      </c>
      <c r="L2411">
        <v>200015760</v>
      </c>
    </row>
    <row r="2412" spans="3:12">
      <c r="C2412">
        <v>2100300025</v>
      </c>
      <c r="D2412">
        <v>6426000</v>
      </c>
      <c r="E2412" t="s">
        <v>188</v>
      </c>
      <c r="F2412">
        <v>5210010105</v>
      </c>
      <c r="G2412" s="13">
        <v>6600</v>
      </c>
      <c r="I2412" t="s">
        <v>179</v>
      </c>
      <c r="J2412" t="s">
        <v>900</v>
      </c>
      <c r="K2412" t="s">
        <v>180</v>
      </c>
      <c r="L2412">
        <v>200015444</v>
      </c>
    </row>
    <row r="2413" spans="3:12">
      <c r="C2413">
        <v>2100300025</v>
      </c>
      <c r="D2413">
        <v>6426000</v>
      </c>
      <c r="E2413" t="s">
        <v>188</v>
      </c>
      <c r="F2413">
        <v>5210010105</v>
      </c>
      <c r="G2413" s="13">
        <v>9292.9500000000007</v>
      </c>
      <c r="I2413" t="s">
        <v>179</v>
      </c>
      <c r="J2413" t="s">
        <v>900</v>
      </c>
      <c r="K2413" t="s">
        <v>180</v>
      </c>
      <c r="L2413">
        <v>200016339</v>
      </c>
    </row>
    <row r="2414" spans="3:12">
      <c r="C2414">
        <v>2100300025</v>
      </c>
      <c r="D2414">
        <v>6426000</v>
      </c>
      <c r="E2414" t="s">
        <v>188</v>
      </c>
      <c r="F2414">
        <v>5210010105</v>
      </c>
      <c r="G2414">
        <v>108</v>
      </c>
      <c r="I2414" t="s">
        <v>179</v>
      </c>
      <c r="J2414" t="s">
        <v>900</v>
      </c>
      <c r="K2414" t="s">
        <v>180</v>
      </c>
      <c r="L2414">
        <v>200016340</v>
      </c>
    </row>
    <row r="2415" spans="3:12">
      <c r="C2415">
        <v>2100300025</v>
      </c>
      <c r="D2415">
        <v>6426000</v>
      </c>
      <c r="E2415" t="s">
        <v>188</v>
      </c>
      <c r="F2415">
        <v>5210010105</v>
      </c>
      <c r="G2415" s="13">
        <v>1391</v>
      </c>
      <c r="I2415" t="s">
        <v>179</v>
      </c>
      <c r="J2415" t="s">
        <v>900</v>
      </c>
      <c r="K2415" t="s">
        <v>180</v>
      </c>
      <c r="L2415">
        <v>200016341</v>
      </c>
    </row>
    <row r="2416" spans="3:12">
      <c r="C2416">
        <v>2100300025</v>
      </c>
      <c r="D2416">
        <v>6426000</v>
      </c>
      <c r="E2416" t="s">
        <v>188</v>
      </c>
      <c r="F2416">
        <v>5210010105</v>
      </c>
      <c r="G2416" s="13">
        <v>8560</v>
      </c>
      <c r="I2416" t="s">
        <v>179</v>
      </c>
      <c r="J2416" t="s">
        <v>900</v>
      </c>
      <c r="K2416" t="s">
        <v>180</v>
      </c>
      <c r="L2416">
        <v>200016342</v>
      </c>
    </row>
    <row r="2417" spans="3:12">
      <c r="C2417">
        <v>2100300025</v>
      </c>
      <c r="D2417">
        <v>6426000</v>
      </c>
      <c r="E2417" t="s">
        <v>188</v>
      </c>
      <c r="F2417">
        <v>5210010105</v>
      </c>
      <c r="G2417" s="13">
        <v>6000</v>
      </c>
      <c r="I2417" t="s">
        <v>179</v>
      </c>
      <c r="J2417" t="s">
        <v>900</v>
      </c>
      <c r="K2417" t="s">
        <v>180</v>
      </c>
      <c r="L2417">
        <v>200016343</v>
      </c>
    </row>
    <row r="2418" spans="3:12">
      <c r="C2418">
        <v>2100300025</v>
      </c>
      <c r="D2418">
        <v>6426000</v>
      </c>
      <c r="E2418" t="s">
        <v>188</v>
      </c>
      <c r="F2418">
        <v>5210010105</v>
      </c>
      <c r="G2418" s="13">
        <v>5500</v>
      </c>
      <c r="I2418" t="s">
        <v>179</v>
      </c>
      <c r="J2418" t="s">
        <v>900</v>
      </c>
      <c r="K2418" t="s">
        <v>180</v>
      </c>
      <c r="L2418">
        <v>200016344</v>
      </c>
    </row>
    <row r="2419" spans="3:12">
      <c r="C2419">
        <v>2100300025</v>
      </c>
      <c r="D2419">
        <v>6426000</v>
      </c>
      <c r="E2419" t="s">
        <v>188</v>
      </c>
      <c r="F2419">
        <v>5210010105</v>
      </c>
      <c r="G2419" s="13">
        <v>15190</v>
      </c>
      <c r="I2419" t="s">
        <v>179</v>
      </c>
      <c r="J2419" t="s">
        <v>900</v>
      </c>
      <c r="K2419" t="s">
        <v>180</v>
      </c>
      <c r="L2419">
        <v>200016345</v>
      </c>
    </row>
    <row r="2420" spans="3:12">
      <c r="C2420">
        <v>2100300025</v>
      </c>
      <c r="D2420">
        <v>6426000</v>
      </c>
      <c r="E2420" t="s">
        <v>188</v>
      </c>
      <c r="F2420">
        <v>5210010105</v>
      </c>
      <c r="G2420" s="13">
        <v>18400</v>
      </c>
      <c r="I2420" t="s">
        <v>179</v>
      </c>
      <c r="J2420" t="s">
        <v>900</v>
      </c>
      <c r="K2420" t="s">
        <v>180</v>
      </c>
      <c r="L2420">
        <v>200016346</v>
      </c>
    </row>
    <row r="2421" spans="3:12">
      <c r="C2421">
        <v>2100300025</v>
      </c>
      <c r="D2421">
        <v>6426000</v>
      </c>
      <c r="E2421" t="s">
        <v>188</v>
      </c>
      <c r="F2421">
        <v>5210010105</v>
      </c>
      <c r="G2421" s="13">
        <v>12800</v>
      </c>
      <c r="I2421" t="s">
        <v>179</v>
      </c>
      <c r="J2421" t="s">
        <v>900</v>
      </c>
      <c r="K2421" t="s">
        <v>180</v>
      </c>
      <c r="L2421">
        <v>200016417</v>
      </c>
    </row>
    <row r="2422" spans="3:12">
      <c r="C2422">
        <v>2100300025</v>
      </c>
      <c r="D2422">
        <v>6426000</v>
      </c>
      <c r="E2422" t="s">
        <v>188</v>
      </c>
      <c r="F2422">
        <v>5210010105</v>
      </c>
      <c r="G2422" s="13">
        <v>18400</v>
      </c>
      <c r="I2422" t="s">
        <v>179</v>
      </c>
      <c r="J2422" t="s">
        <v>900</v>
      </c>
      <c r="K2422" t="s">
        <v>180</v>
      </c>
      <c r="L2422">
        <v>200016348</v>
      </c>
    </row>
    <row r="2423" spans="3:12">
      <c r="C2423">
        <v>2100300025</v>
      </c>
      <c r="D2423">
        <v>6426000</v>
      </c>
      <c r="E2423" t="s">
        <v>188</v>
      </c>
      <c r="F2423">
        <v>5210010105</v>
      </c>
      <c r="G2423" s="13">
        <v>2700</v>
      </c>
      <c r="I2423" t="s">
        <v>179</v>
      </c>
      <c r="J2423" t="s">
        <v>900</v>
      </c>
      <c r="K2423" t="s">
        <v>180</v>
      </c>
      <c r="L2423">
        <v>200016357</v>
      </c>
    </row>
    <row r="2424" spans="3:12">
      <c r="C2424">
        <v>2100300025</v>
      </c>
      <c r="D2424">
        <v>6426000</v>
      </c>
      <c r="E2424" t="s">
        <v>188</v>
      </c>
      <c r="F2424">
        <v>5210010105</v>
      </c>
      <c r="G2424" s="13">
        <v>11800</v>
      </c>
      <c r="I2424" t="s">
        <v>179</v>
      </c>
      <c r="J2424" t="s">
        <v>901</v>
      </c>
      <c r="K2424" t="s">
        <v>180</v>
      </c>
      <c r="L2424">
        <v>200021813</v>
      </c>
    </row>
    <row r="2425" spans="3:12">
      <c r="C2425">
        <v>2100300025</v>
      </c>
      <c r="D2425">
        <v>6426000</v>
      </c>
      <c r="E2425" t="s">
        <v>188</v>
      </c>
      <c r="F2425">
        <v>5210010105</v>
      </c>
      <c r="G2425" s="13">
        <v>5600</v>
      </c>
      <c r="I2425" t="s">
        <v>179</v>
      </c>
      <c r="J2425" t="s">
        <v>901</v>
      </c>
      <c r="K2425" t="s">
        <v>180</v>
      </c>
      <c r="L2425">
        <v>200021673</v>
      </c>
    </row>
    <row r="2426" spans="3:12">
      <c r="C2426">
        <v>2100300025</v>
      </c>
      <c r="D2426">
        <v>6426000</v>
      </c>
      <c r="E2426" t="s">
        <v>188</v>
      </c>
      <c r="F2426">
        <v>5210010105</v>
      </c>
      <c r="G2426" s="13">
        <v>-1244356.5</v>
      </c>
      <c r="I2426" t="s">
        <v>179</v>
      </c>
      <c r="J2426" t="s">
        <v>910</v>
      </c>
      <c r="K2426" t="s">
        <v>180</v>
      </c>
      <c r="L2426">
        <v>200032106</v>
      </c>
    </row>
    <row r="2427" spans="3:12">
      <c r="C2427">
        <v>2100300025</v>
      </c>
      <c r="D2427">
        <v>6426000</v>
      </c>
      <c r="E2427" t="s">
        <v>188</v>
      </c>
      <c r="F2427">
        <v>5210010105</v>
      </c>
      <c r="G2427" s="13">
        <v>117700</v>
      </c>
      <c r="I2427" t="s">
        <v>179</v>
      </c>
      <c r="J2427" t="s">
        <v>902</v>
      </c>
      <c r="K2427" t="s">
        <v>180</v>
      </c>
      <c r="L2427">
        <v>200025966</v>
      </c>
    </row>
    <row r="2428" spans="3:12">
      <c r="C2428">
        <v>2100300025</v>
      </c>
      <c r="D2428">
        <v>6426000</v>
      </c>
      <c r="E2428" t="s">
        <v>188</v>
      </c>
      <c r="F2428">
        <v>5210010105</v>
      </c>
      <c r="G2428" s="13">
        <v>8453</v>
      </c>
      <c r="I2428" t="s">
        <v>179</v>
      </c>
      <c r="J2428" t="s">
        <v>902</v>
      </c>
      <c r="K2428" t="s">
        <v>180</v>
      </c>
      <c r="L2428">
        <v>200024732</v>
      </c>
    </row>
    <row r="2429" spans="3:12">
      <c r="C2429">
        <v>2100300025</v>
      </c>
      <c r="D2429">
        <v>6426000</v>
      </c>
      <c r="E2429" t="s">
        <v>188</v>
      </c>
      <c r="F2429">
        <v>5210010105</v>
      </c>
      <c r="G2429" s="13">
        <v>11076</v>
      </c>
      <c r="I2429" t="s">
        <v>179</v>
      </c>
      <c r="J2429" t="s">
        <v>902</v>
      </c>
      <c r="K2429" t="s">
        <v>180</v>
      </c>
      <c r="L2429">
        <v>200024733</v>
      </c>
    </row>
    <row r="2430" spans="3:12">
      <c r="C2430">
        <v>2100300025</v>
      </c>
      <c r="D2430">
        <v>6426000</v>
      </c>
      <c r="E2430" t="s">
        <v>188</v>
      </c>
      <c r="F2430">
        <v>5210010105</v>
      </c>
      <c r="G2430" s="13">
        <v>14445</v>
      </c>
      <c r="I2430" t="s">
        <v>179</v>
      </c>
      <c r="J2430" t="s">
        <v>902</v>
      </c>
      <c r="K2430" t="s">
        <v>180</v>
      </c>
      <c r="L2430">
        <v>200024811</v>
      </c>
    </row>
    <row r="2431" spans="3:12">
      <c r="C2431">
        <v>2100300025</v>
      </c>
      <c r="D2431">
        <v>6426000</v>
      </c>
      <c r="E2431" t="s">
        <v>188</v>
      </c>
      <c r="F2431">
        <v>5210010105</v>
      </c>
      <c r="G2431">
        <v>969.42</v>
      </c>
      <c r="I2431" t="s">
        <v>179</v>
      </c>
      <c r="J2431" t="s">
        <v>902</v>
      </c>
      <c r="K2431" t="s">
        <v>180</v>
      </c>
      <c r="L2431">
        <v>200024812</v>
      </c>
    </row>
    <row r="2432" spans="3:12">
      <c r="C2432">
        <v>2100300025</v>
      </c>
      <c r="D2432">
        <v>6426000</v>
      </c>
      <c r="E2432" t="s">
        <v>188</v>
      </c>
      <c r="F2432">
        <v>5210010105</v>
      </c>
      <c r="G2432" s="13">
        <v>5938.5</v>
      </c>
      <c r="I2432" t="s">
        <v>179</v>
      </c>
      <c r="J2432" t="s">
        <v>902</v>
      </c>
      <c r="K2432" t="s">
        <v>180</v>
      </c>
      <c r="L2432">
        <v>200024813</v>
      </c>
    </row>
    <row r="2433" spans="3:12">
      <c r="C2433">
        <v>2100300025</v>
      </c>
      <c r="D2433">
        <v>6426000</v>
      </c>
      <c r="E2433" t="s">
        <v>188</v>
      </c>
      <c r="F2433">
        <v>5210010105</v>
      </c>
      <c r="G2433" s="13">
        <v>97022.25</v>
      </c>
      <c r="I2433" t="s">
        <v>179</v>
      </c>
      <c r="J2433" t="s">
        <v>902</v>
      </c>
      <c r="K2433" t="s">
        <v>180</v>
      </c>
      <c r="L2433">
        <v>200025968</v>
      </c>
    </row>
    <row r="2434" spans="3:12">
      <c r="C2434">
        <v>2100300025</v>
      </c>
      <c r="D2434">
        <v>6426000</v>
      </c>
      <c r="E2434" t="s">
        <v>188</v>
      </c>
      <c r="F2434">
        <v>5210010105</v>
      </c>
      <c r="G2434" s="13">
        <v>61525</v>
      </c>
      <c r="I2434" t="s">
        <v>179</v>
      </c>
      <c r="J2434" t="s">
        <v>902</v>
      </c>
      <c r="K2434" t="s">
        <v>180</v>
      </c>
      <c r="L2434">
        <v>200025631</v>
      </c>
    </row>
    <row r="2435" spans="3:12">
      <c r="C2435">
        <v>2100300025</v>
      </c>
      <c r="D2435">
        <v>6426000</v>
      </c>
      <c r="E2435" t="s">
        <v>188</v>
      </c>
      <c r="F2435">
        <v>5210010105</v>
      </c>
      <c r="G2435" s="13">
        <v>184889.58</v>
      </c>
      <c r="I2435" t="s">
        <v>179</v>
      </c>
      <c r="J2435" t="s">
        <v>902</v>
      </c>
      <c r="K2435" t="s">
        <v>180</v>
      </c>
      <c r="L2435">
        <v>200025632</v>
      </c>
    </row>
    <row r="2436" spans="3:12">
      <c r="C2436">
        <v>2100300025</v>
      </c>
      <c r="D2436">
        <v>6426000</v>
      </c>
      <c r="E2436" t="s">
        <v>188</v>
      </c>
      <c r="F2436">
        <v>5210010105</v>
      </c>
      <c r="G2436" s="13">
        <v>97022.25</v>
      </c>
      <c r="I2436" t="s">
        <v>179</v>
      </c>
      <c r="J2436" t="s">
        <v>902</v>
      </c>
      <c r="K2436" t="s">
        <v>180</v>
      </c>
      <c r="L2436">
        <v>200024735</v>
      </c>
    </row>
    <row r="2437" spans="3:12">
      <c r="C2437">
        <v>2100300025</v>
      </c>
      <c r="D2437">
        <v>6426000</v>
      </c>
      <c r="E2437" t="s">
        <v>188</v>
      </c>
      <c r="F2437">
        <v>5210010105</v>
      </c>
      <c r="G2437" s="13">
        <v>5313.23</v>
      </c>
      <c r="I2437" t="s">
        <v>179</v>
      </c>
      <c r="J2437" t="s">
        <v>902</v>
      </c>
      <c r="K2437" t="s">
        <v>180</v>
      </c>
      <c r="L2437">
        <v>200025969</v>
      </c>
    </row>
    <row r="2438" spans="3:12">
      <c r="C2438">
        <v>2100300025</v>
      </c>
      <c r="D2438">
        <v>6426000</v>
      </c>
      <c r="E2438" t="s">
        <v>188</v>
      </c>
      <c r="F2438">
        <v>5210010105</v>
      </c>
      <c r="G2438" s="13">
        <v>2503.8000000000002</v>
      </c>
      <c r="I2438" t="s">
        <v>179</v>
      </c>
      <c r="J2438" t="s">
        <v>902</v>
      </c>
      <c r="K2438" t="s">
        <v>180</v>
      </c>
      <c r="L2438">
        <v>200025970</v>
      </c>
    </row>
    <row r="2439" spans="3:12">
      <c r="C2439">
        <v>2100300025</v>
      </c>
      <c r="D2439">
        <v>6426000</v>
      </c>
      <c r="E2439" t="s">
        <v>188</v>
      </c>
      <c r="F2439">
        <v>5210010105</v>
      </c>
      <c r="G2439" s="13">
        <v>9148.5</v>
      </c>
      <c r="I2439" t="s">
        <v>179</v>
      </c>
      <c r="J2439" t="s">
        <v>902</v>
      </c>
      <c r="K2439" t="s">
        <v>180</v>
      </c>
      <c r="L2439">
        <v>200025971</v>
      </c>
    </row>
    <row r="2440" spans="3:12">
      <c r="C2440">
        <v>2100300025</v>
      </c>
      <c r="D2440">
        <v>6426000</v>
      </c>
      <c r="E2440" t="s">
        <v>188</v>
      </c>
      <c r="F2440">
        <v>5210010105</v>
      </c>
      <c r="G2440" s="13">
        <v>4601</v>
      </c>
      <c r="I2440" t="s">
        <v>179</v>
      </c>
      <c r="J2440" t="s">
        <v>902</v>
      </c>
      <c r="K2440" t="s">
        <v>180</v>
      </c>
      <c r="L2440">
        <v>200025972</v>
      </c>
    </row>
    <row r="2441" spans="3:12">
      <c r="C2441">
        <v>2100300025</v>
      </c>
      <c r="D2441">
        <v>6426000</v>
      </c>
      <c r="E2441" t="s">
        <v>188</v>
      </c>
      <c r="F2441">
        <v>5210010105</v>
      </c>
      <c r="G2441" s="13">
        <v>5136</v>
      </c>
      <c r="I2441" t="s">
        <v>179</v>
      </c>
      <c r="J2441" t="s">
        <v>902</v>
      </c>
      <c r="K2441" t="s">
        <v>180</v>
      </c>
      <c r="L2441">
        <v>200025633</v>
      </c>
    </row>
    <row r="2442" spans="3:12">
      <c r="C2442">
        <v>2100300025</v>
      </c>
      <c r="D2442">
        <v>6426000</v>
      </c>
      <c r="E2442" t="s">
        <v>188</v>
      </c>
      <c r="F2442">
        <v>5210010105</v>
      </c>
      <c r="G2442" s="13">
        <v>3550</v>
      </c>
      <c r="I2442" t="s">
        <v>179</v>
      </c>
      <c r="J2442" t="s">
        <v>902</v>
      </c>
      <c r="K2442" t="s">
        <v>180</v>
      </c>
      <c r="L2442">
        <v>200025634</v>
      </c>
    </row>
    <row r="2443" spans="3:12">
      <c r="C2443">
        <v>2100300025</v>
      </c>
      <c r="D2443">
        <v>6426000</v>
      </c>
      <c r="E2443" t="s">
        <v>188</v>
      </c>
      <c r="F2443">
        <v>5210010105</v>
      </c>
      <c r="G2443" s="13">
        <v>1500</v>
      </c>
      <c r="I2443" t="s">
        <v>179</v>
      </c>
      <c r="J2443" t="s">
        <v>902</v>
      </c>
      <c r="K2443" t="s">
        <v>180</v>
      </c>
      <c r="L2443">
        <v>200025635</v>
      </c>
    </row>
    <row r="2444" spans="3:12">
      <c r="C2444">
        <v>2100300025</v>
      </c>
      <c r="D2444">
        <v>6426000</v>
      </c>
      <c r="E2444" t="s">
        <v>188</v>
      </c>
      <c r="F2444">
        <v>5210010105</v>
      </c>
      <c r="G2444" s="13">
        <v>18725</v>
      </c>
      <c r="I2444" t="s">
        <v>179</v>
      </c>
      <c r="J2444" t="s">
        <v>902</v>
      </c>
      <c r="K2444" t="s">
        <v>180</v>
      </c>
      <c r="L2444">
        <v>200025643</v>
      </c>
    </row>
    <row r="2445" spans="3:12">
      <c r="C2445">
        <v>2100300025</v>
      </c>
      <c r="D2445">
        <v>6426000</v>
      </c>
      <c r="E2445" t="s">
        <v>188</v>
      </c>
      <c r="F2445">
        <v>5210010105</v>
      </c>
      <c r="G2445" s="13">
        <v>272850</v>
      </c>
      <c r="I2445" t="s">
        <v>179</v>
      </c>
      <c r="J2445" t="s">
        <v>902</v>
      </c>
      <c r="K2445" t="s">
        <v>180</v>
      </c>
      <c r="L2445">
        <v>200025647</v>
      </c>
    </row>
    <row r="2446" spans="3:12">
      <c r="C2446">
        <v>2100300025</v>
      </c>
      <c r="D2446">
        <v>6426000</v>
      </c>
      <c r="E2446" t="s">
        <v>188</v>
      </c>
      <c r="F2446">
        <v>5210010105</v>
      </c>
      <c r="G2446" s="13">
        <v>111815</v>
      </c>
      <c r="I2446" t="s">
        <v>179</v>
      </c>
      <c r="J2446" t="s">
        <v>902</v>
      </c>
      <c r="K2446" t="s">
        <v>180</v>
      </c>
      <c r="L2446">
        <v>200025995</v>
      </c>
    </row>
    <row r="2447" spans="3:12">
      <c r="C2447">
        <v>2100300025</v>
      </c>
      <c r="D2447">
        <v>6426000</v>
      </c>
      <c r="E2447" t="s">
        <v>188</v>
      </c>
      <c r="F2447">
        <v>5210010105</v>
      </c>
      <c r="G2447" s="13">
        <v>32500</v>
      </c>
      <c r="I2447" t="s">
        <v>179</v>
      </c>
      <c r="J2447" t="s">
        <v>902</v>
      </c>
      <c r="K2447" t="s">
        <v>180</v>
      </c>
      <c r="L2447">
        <v>200025654</v>
      </c>
    </row>
    <row r="2448" spans="3:12">
      <c r="C2448">
        <v>2100300025</v>
      </c>
      <c r="D2448">
        <v>6426000</v>
      </c>
      <c r="E2448" t="s">
        <v>188</v>
      </c>
      <c r="F2448">
        <v>5210010105</v>
      </c>
      <c r="G2448" s="13">
        <v>96000</v>
      </c>
      <c r="I2448" t="s">
        <v>179</v>
      </c>
      <c r="J2448" t="s">
        <v>902</v>
      </c>
      <c r="K2448" t="s">
        <v>180</v>
      </c>
      <c r="L2448">
        <v>200025655</v>
      </c>
    </row>
    <row r="2449" spans="3:12">
      <c r="C2449">
        <v>2100300025</v>
      </c>
      <c r="D2449">
        <v>6426000</v>
      </c>
      <c r="E2449" t="s">
        <v>188</v>
      </c>
      <c r="F2449">
        <v>5210010105</v>
      </c>
      <c r="G2449" s="13">
        <v>132402.29</v>
      </c>
      <c r="I2449" t="s">
        <v>179</v>
      </c>
      <c r="J2449" t="s">
        <v>902</v>
      </c>
      <c r="K2449" t="s">
        <v>180</v>
      </c>
      <c r="L2449">
        <v>200026208</v>
      </c>
    </row>
    <row r="2450" spans="3:12">
      <c r="C2450">
        <v>2100300025</v>
      </c>
      <c r="D2450">
        <v>6426000</v>
      </c>
      <c r="E2450" t="s">
        <v>188</v>
      </c>
      <c r="F2450">
        <v>5210010105</v>
      </c>
      <c r="G2450" s="13">
        <v>8010</v>
      </c>
      <c r="I2450" t="s">
        <v>179</v>
      </c>
      <c r="J2450" t="s">
        <v>902</v>
      </c>
      <c r="K2450" t="s">
        <v>180</v>
      </c>
      <c r="L2450">
        <v>200026210</v>
      </c>
    </row>
    <row r="2451" spans="3:12">
      <c r="C2451">
        <v>2100300025</v>
      </c>
      <c r="D2451">
        <v>6426000</v>
      </c>
      <c r="E2451" t="s">
        <v>188</v>
      </c>
      <c r="F2451">
        <v>5210010105</v>
      </c>
      <c r="G2451" s="13">
        <v>3980.4</v>
      </c>
      <c r="I2451" t="s">
        <v>179</v>
      </c>
      <c r="J2451" t="s">
        <v>902</v>
      </c>
      <c r="K2451" t="s">
        <v>180</v>
      </c>
      <c r="L2451">
        <v>200026211</v>
      </c>
    </row>
    <row r="2452" spans="3:12">
      <c r="C2452">
        <v>2100300025</v>
      </c>
      <c r="D2452">
        <v>6426000</v>
      </c>
      <c r="E2452" t="s">
        <v>188</v>
      </c>
      <c r="F2452">
        <v>5210010105</v>
      </c>
      <c r="G2452" s="13">
        <v>12500</v>
      </c>
      <c r="I2452" t="s">
        <v>179</v>
      </c>
      <c r="J2452" t="s">
        <v>555</v>
      </c>
      <c r="K2452" t="s">
        <v>180</v>
      </c>
      <c r="L2452">
        <v>200029915</v>
      </c>
    </row>
    <row r="2453" spans="3:12">
      <c r="C2453">
        <v>2100300025</v>
      </c>
      <c r="D2453">
        <v>6426000</v>
      </c>
      <c r="E2453" t="s">
        <v>188</v>
      </c>
      <c r="F2453">
        <v>5210010105</v>
      </c>
      <c r="G2453" s="13">
        <v>37500</v>
      </c>
      <c r="I2453" t="s">
        <v>179</v>
      </c>
      <c r="J2453" t="s">
        <v>555</v>
      </c>
      <c r="K2453" t="s">
        <v>180</v>
      </c>
      <c r="L2453">
        <v>200029920</v>
      </c>
    </row>
    <row r="2454" spans="3:12">
      <c r="C2454">
        <v>2100300025</v>
      </c>
      <c r="D2454">
        <v>6426000</v>
      </c>
      <c r="E2454" t="s">
        <v>188</v>
      </c>
      <c r="F2454">
        <v>5210010105</v>
      </c>
      <c r="G2454" s="13">
        <v>2675</v>
      </c>
      <c r="I2454" t="s">
        <v>179</v>
      </c>
      <c r="J2454" t="s">
        <v>555</v>
      </c>
      <c r="K2454" t="s">
        <v>180</v>
      </c>
      <c r="L2454">
        <v>200029797</v>
      </c>
    </row>
    <row r="2455" spans="3:12">
      <c r="C2455">
        <v>2100300025</v>
      </c>
      <c r="D2455">
        <v>6426000</v>
      </c>
      <c r="E2455" t="s">
        <v>188</v>
      </c>
      <c r="F2455">
        <v>5210010105</v>
      </c>
      <c r="G2455" s="13">
        <v>3210</v>
      </c>
      <c r="I2455" t="s">
        <v>179</v>
      </c>
      <c r="J2455" t="s">
        <v>555</v>
      </c>
      <c r="K2455" t="s">
        <v>180</v>
      </c>
      <c r="L2455">
        <v>200029933</v>
      </c>
    </row>
    <row r="2456" spans="3:12">
      <c r="C2456">
        <v>2100300025</v>
      </c>
      <c r="D2456">
        <v>6426000</v>
      </c>
      <c r="E2456" t="s">
        <v>188</v>
      </c>
      <c r="F2456">
        <v>5210010105</v>
      </c>
      <c r="G2456" s="13">
        <v>24000</v>
      </c>
      <c r="I2456" t="s">
        <v>179</v>
      </c>
      <c r="J2456" t="s">
        <v>904</v>
      </c>
      <c r="K2456" t="s">
        <v>180</v>
      </c>
      <c r="L2456">
        <v>200027517</v>
      </c>
    </row>
    <row r="2457" spans="3:12">
      <c r="C2457">
        <v>2100300025</v>
      </c>
      <c r="D2457">
        <v>6426000</v>
      </c>
      <c r="E2457" t="s">
        <v>188</v>
      </c>
      <c r="F2457">
        <v>5210010105</v>
      </c>
      <c r="G2457" s="13">
        <v>36100</v>
      </c>
      <c r="I2457" t="s">
        <v>179</v>
      </c>
      <c r="J2457" t="s">
        <v>912</v>
      </c>
      <c r="K2457" t="s">
        <v>180</v>
      </c>
      <c r="L2457">
        <v>200001077</v>
      </c>
    </row>
    <row r="2458" spans="3:12">
      <c r="C2458">
        <v>2100300025</v>
      </c>
      <c r="D2458">
        <v>6426000</v>
      </c>
      <c r="E2458" t="s">
        <v>188</v>
      </c>
      <c r="F2458">
        <v>5210010105</v>
      </c>
      <c r="G2458">
        <v>40</v>
      </c>
      <c r="I2458" t="s">
        <v>179</v>
      </c>
      <c r="J2458" t="s">
        <v>912</v>
      </c>
      <c r="K2458" t="s">
        <v>180</v>
      </c>
      <c r="L2458">
        <v>200001078</v>
      </c>
    </row>
    <row r="2459" spans="3:12">
      <c r="C2459">
        <v>2100300025</v>
      </c>
      <c r="D2459">
        <v>6426000</v>
      </c>
      <c r="E2459" t="s">
        <v>188</v>
      </c>
      <c r="F2459">
        <v>5210010105</v>
      </c>
      <c r="G2459" s="13">
        <v>25800</v>
      </c>
      <c r="I2459" t="s">
        <v>179</v>
      </c>
      <c r="J2459" t="s">
        <v>906</v>
      </c>
      <c r="K2459" t="s">
        <v>180</v>
      </c>
      <c r="L2459">
        <v>200026929</v>
      </c>
    </row>
    <row r="2460" spans="3:12">
      <c r="C2460">
        <v>2100300025</v>
      </c>
      <c r="D2460">
        <v>6426000</v>
      </c>
      <c r="E2460" t="s">
        <v>188</v>
      </c>
      <c r="F2460">
        <v>5210010105</v>
      </c>
      <c r="G2460" s="13">
        <v>5678</v>
      </c>
      <c r="I2460" t="s">
        <v>179</v>
      </c>
      <c r="J2460" t="s">
        <v>872</v>
      </c>
      <c r="K2460" t="s">
        <v>180</v>
      </c>
      <c r="L2460">
        <v>200032344</v>
      </c>
    </row>
    <row r="2461" spans="3:12">
      <c r="C2461">
        <v>2100300025</v>
      </c>
      <c r="D2461">
        <v>6426000</v>
      </c>
      <c r="E2461" t="s">
        <v>188</v>
      </c>
      <c r="F2461">
        <v>5210010105</v>
      </c>
      <c r="G2461" s="13">
        <v>28890</v>
      </c>
      <c r="I2461" t="s">
        <v>179</v>
      </c>
      <c r="J2461" t="s">
        <v>872</v>
      </c>
      <c r="K2461" t="s">
        <v>180</v>
      </c>
      <c r="L2461">
        <v>200032413</v>
      </c>
    </row>
    <row r="2462" spans="3:12">
      <c r="C2462">
        <v>2100300025</v>
      </c>
      <c r="D2462">
        <v>6426000</v>
      </c>
      <c r="E2462" t="s">
        <v>188</v>
      </c>
      <c r="F2462">
        <v>5210010105</v>
      </c>
      <c r="G2462" s="13">
        <v>84000</v>
      </c>
      <c r="I2462" t="s">
        <v>179</v>
      </c>
      <c r="J2462" t="s">
        <v>872</v>
      </c>
      <c r="K2462" t="s">
        <v>180</v>
      </c>
      <c r="L2462">
        <v>200032368</v>
      </c>
    </row>
    <row r="2463" spans="3:12">
      <c r="C2463">
        <v>2100300025</v>
      </c>
      <c r="D2463">
        <v>6426000</v>
      </c>
      <c r="E2463" t="s">
        <v>188</v>
      </c>
      <c r="F2463">
        <v>5210010105</v>
      </c>
      <c r="G2463" s="13">
        <v>185000</v>
      </c>
      <c r="I2463" t="s">
        <v>179</v>
      </c>
      <c r="J2463" t="s">
        <v>872</v>
      </c>
      <c r="K2463" t="s">
        <v>180</v>
      </c>
      <c r="L2463">
        <v>200027890</v>
      </c>
    </row>
    <row r="2464" spans="3:12">
      <c r="C2464">
        <v>2100300025</v>
      </c>
      <c r="D2464">
        <v>6426000</v>
      </c>
      <c r="E2464" t="s">
        <v>188</v>
      </c>
      <c r="F2464">
        <v>5210010105</v>
      </c>
      <c r="G2464" s="13">
        <v>11000</v>
      </c>
      <c r="I2464" t="s">
        <v>179</v>
      </c>
      <c r="J2464" t="s">
        <v>872</v>
      </c>
      <c r="K2464" t="s">
        <v>180</v>
      </c>
      <c r="L2464">
        <v>200032369</v>
      </c>
    </row>
    <row r="2465" spans="3:12">
      <c r="C2465">
        <v>2100300025</v>
      </c>
      <c r="D2465">
        <v>6426000</v>
      </c>
      <c r="E2465" t="s">
        <v>188</v>
      </c>
      <c r="F2465">
        <v>5210010105</v>
      </c>
      <c r="G2465" s="13">
        <v>23540</v>
      </c>
      <c r="I2465" t="s">
        <v>179</v>
      </c>
      <c r="J2465" t="s">
        <v>872</v>
      </c>
      <c r="K2465" t="s">
        <v>180</v>
      </c>
      <c r="L2465">
        <v>200032788</v>
      </c>
    </row>
    <row r="2466" spans="3:12">
      <c r="C2466">
        <v>2100300025</v>
      </c>
      <c r="D2466">
        <v>6426000</v>
      </c>
      <c r="E2466" t="s">
        <v>188</v>
      </c>
      <c r="F2466">
        <v>5210010105</v>
      </c>
      <c r="G2466" s="13">
        <v>37075.5</v>
      </c>
      <c r="I2466" t="s">
        <v>179</v>
      </c>
      <c r="J2466" t="s">
        <v>906</v>
      </c>
      <c r="K2466" t="s">
        <v>180</v>
      </c>
      <c r="L2466">
        <v>200026906</v>
      </c>
    </row>
    <row r="2467" spans="3:12">
      <c r="C2467">
        <v>2100300025</v>
      </c>
      <c r="D2467">
        <v>6426000</v>
      </c>
      <c r="E2467" t="s">
        <v>188</v>
      </c>
      <c r="F2467">
        <v>5210010105</v>
      </c>
      <c r="G2467">
        <v>990</v>
      </c>
      <c r="I2467" t="s">
        <v>179</v>
      </c>
      <c r="J2467" t="s">
        <v>906</v>
      </c>
      <c r="K2467" t="s">
        <v>180</v>
      </c>
      <c r="L2467">
        <v>200026907</v>
      </c>
    </row>
    <row r="2468" spans="3:12">
      <c r="C2468">
        <v>2100300025</v>
      </c>
      <c r="D2468">
        <v>6426000</v>
      </c>
      <c r="E2468" t="s">
        <v>188</v>
      </c>
      <c r="F2468">
        <v>5210010105</v>
      </c>
      <c r="G2468" s="13">
        <v>29180</v>
      </c>
      <c r="I2468" t="s">
        <v>179</v>
      </c>
      <c r="J2468" t="s">
        <v>907</v>
      </c>
      <c r="K2468" t="s">
        <v>180</v>
      </c>
      <c r="L2468">
        <v>200028928</v>
      </c>
    </row>
    <row r="2469" spans="3:12">
      <c r="C2469">
        <v>2100300025</v>
      </c>
      <c r="D2469">
        <v>6426000</v>
      </c>
      <c r="E2469" t="s">
        <v>188</v>
      </c>
      <c r="F2469">
        <v>5210010105</v>
      </c>
      <c r="G2469" s="13">
        <v>75970</v>
      </c>
      <c r="I2469" t="s">
        <v>179</v>
      </c>
      <c r="J2469" t="s">
        <v>907</v>
      </c>
      <c r="K2469" t="s">
        <v>180</v>
      </c>
      <c r="L2469">
        <v>200028659</v>
      </c>
    </row>
    <row r="2470" spans="3:12">
      <c r="C2470">
        <v>2100300025</v>
      </c>
      <c r="D2470">
        <v>6426000</v>
      </c>
      <c r="E2470" t="s">
        <v>188</v>
      </c>
      <c r="F2470">
        <v>5210010105</v>
      </c>
      <c r="G2470" s="13">
        <v>285989.59999999998</v>
      </c>
      <c r="I2470" t="s">
        <v>179</v>
      </c>
      <c r="J2470" t="s">
        <v>907</v>
      </c>
      <c r="K2470" t="s">
        <v>180</v>
      </c>
      <c r="L2470">
        <v>200028660</v>
      </c>
    </row>
    <row r="2471" spans="3:12">
      <c r="C2471">
        <v>2100300025</v>
      </c>
      <c r="D2471">
        <v>6426000</v>
      </c>
      <c r="E2471" t="s">
        <v>188</v>
      </c>
      <c r="F2471">
        <v>5210010105</v>
      </c>
      <c r="G2471" s="13">
        <v>92880</v>
      </c>
      <c r="I2471" t="s">
        <v>179</v>
      </c>
      <c r="J2471" t="s">
        <v>907</v>
      </c>
      <c r="K2471" t="s">
        <v>180</v>
      </c>
      <c r="L2471">
        <v>200028825</v>
      </c>
    </row>
    <row r="2472" spans="3:12">
      <c r="C2472">
        <v>2100300025</v>
      </c>
      <c r="D2472">
        <v>6426000</v>
      </c>
      <c r="E2472" t="s">
        <v>188</v>
      </c>
      <c r="F2472">
        <v>5210010105</v>
      </c>
      <c r="G2472" s="13">
        <v>1079265</v>
      </c>
      <c r="I2472" t="s">
        <v>179</v>
      </c>
      <c r="J2472" t="s">
        <v>907</v>
      </c>
      <c r="K2472" t="s">
        <v>180</v>
      </c>
      <c r="L2472">
        <v>200028826</v>
      </c>
    </row>
    <row r="2473" spans="3:12">
      <c r="C2473">
        <v>2100300025</v>
      </c>
      <c r="D2473">
        <v>6426000</v>
      </c>
      <c r="E2473" t="s">
        <v>188</v>
      </c>
      <c r="F2473">
        <v>5210010105</v>
      </c>
      <c r="G2473" s="13">
        <v>2460</v>
      </c>
      <c r="I2473" t="s">
        <v>179</v>
      </c>
      <c r="J2473" t="s">
        <v>908</v>
      </c>
      <c r="K2473" t="s">
        <v>180</v>
      </c>
      <c r="L2473">
        <v>200032144</v>
      </c>
    </row>
    <row r="2474" spans="3:12">
      <c r="C2474">
        <v>2100300025</v>
      </c>
      <c r="D2474">
        <v>6426000</v>
      </c>
      <c r="E2474" t="s">
        <v>188</v>
      </c>
      <c r="F2474">
        <v>5210010105</v>
      </c>
      <c r="G2474" s="13">
        <v>4750</v>
      </c>
      <c r="I2474" t="s">
        <v>179</v>
      </c>
      <c r="J2474" t="s">
        <v>908</v>
      </c>
      <c r="K2474" t="s">
        <v>180</v>
      </c>
      <c r="L2474">
        <v>200032509</v>
      </c>
    </row>
    <row r="2475" spans="3:12">
      <c r="C2475">
        <v>2100300025</v>
      </c>
      <c r="D2475">
        <v>6426000</v>
      </c>
      <c r="E2475" t="s">
        <v>188</v>
      </c>
      <c r="F2475">
        <v>5210010105</v>
      </c>
      <c r="G2475" s="13">
        <v>13100</v>
      </c>
      <c r="I2475" t="s">
        <v>179</v>
      </c>
      <c r="J2475" t="s">
        <v>910</v>
      </c>
      <c r="K2475" t="s">
        <v>180</v>
      </c>
      <c r="L2475">
        <v>200032105</v>
      </c>
    </row>
    <row r="2476" spans="3:12">
      <c r="C2476">
        <v>2100300025</v>
      </c>
      <c r="D2476">
        <v>6426000</v>
      </c>
      <c r="E2476" t="s">
        <v>188</v>
      </c>
      <c r="F2476">
        <v>5210010105</v>
      </c>
      <c r="G2476" s="13">
        <v>1244356.5</v>
      </c>
      <c r="I2476" t="s">
        <v>179</v>
      </c>
      <c r="J2476" t="s">
        <v>910</v>
      </c>
      <c r="K2476" t="s">
        <v>180</v>
      </c>
      <c r="L2476">
        <v>200031565</v>
      </c>
    </row>
    <row r="2477" spans="3:12">
      <c r="C2477">
        <v>2100300025</v>
      </c>
      <c r="D2477">
        <v>6426000</v>
      </c>
      <c r="E2477" t="s">
        <v>188</v>
      </c>
      <c r="F2477">
        <v>5210010105</v>
      </c>
      <c r="G2477" s="13">
        <v>1244356.5</v>
      </c>
      <c r="I2477" t="s">
        <v>179</v>
      </c>
      <c r="J2477" t="s">
        <v>910</v>
      </c>
      <c r="K2477" t="s">
        <v>180</v>
      </c>
      <c r="L2477">
        <v>200031237</v>
      </c>
    </row>
    <row r="2478" spans="3:12">
      <c r="C2478">
        <v>2100300025</v>
      </c>
      <c r="D2478">
        <v>6426000</v>
      </c>
      <c r="E2478" t="s">
        <v>188</v>
      </c>
      <c r="F2478">
        <v>5210010105</v>
      </c>
      <c r="G2478" s="13">
        <v>69480</v>
      </c>
      <c r="I2478" t="s">
        <v>179</v>
      </c>
      <c r="J2478" t="s">
        <v>822</v>
      </c>
      <c r="K2478" t="s">
        <v>180</v>
      </c>
      <c r="L2478">
        <v>200027780</v>
      </c>
    </row>
    <row r="2479" spans="3:12">
      <c r="C2479">
        <v>2100300025</v>
      </c>
      <c r="D2479">
        <v>6426000</v>
      </c>
      <c r="E2479" t="s">
        <v>188</v>
      </c>
      <c r="F2479">
        <v>5210010105</v>
      </c>
      <c r="G2479" s="13">
        <v>2006</v>
      </c>
      <c r="I2479" t="s">
        <v>179</v>
      </c>
      <c r="J2479" t="s">
        <v>822</v>
      </c>
      <c r="K2479" t="s">
        <v>180</v>
      </c>
      <c r="L2479">
        <v>200028330</v>
      </c>
    </row>
    <row r="2480" spans="3:12">
      <c r="C2480">
        <v>2100300025</v>
      </c>
      <c r="D2480">
        <v>6426000</v>
      </c>
      <c r="E2480" t="s">
        <v>188</v>
      </c>
      <c r="F2480">
        <v>5210010105</v>
      </c>
      <c r="G2480" s="13">
        <v>5000</v>
      </c>
      <c r="I2480" t="s">
        <v>179</v>
      </c>
      <c r="J2480" t="s">
        <v>822</v>
      </c>
      <c r="K2480" t="s">
        <v>180</v>
      </c>
      <c r="L2480">
        <v>200027367</v>
      </c>
    </row>
    <row r="2481" spans="3:12">
      <c r="C2481">
        <v>2100300025</v>
      </c>
      <c r="D2481">
        <v>6426000</v>
      </c>
      <c r="E2481" t="s">
        <v>188</v>
      </c>
      <c r="F2481">
        <v>5210010105</v>
      </c>
      <c r="G2481">
        <v>100</v>
      </c>
      <c r="I2481" t="s">
        <v>179</v>
      </c>
      <c r="J2481" t="s">
        <v>822</v>
      </c>
      <c r="K2481" t="s">
        <v>180</v>
      </c>
      <c r="L2481">
        <v>200027368</v>
      </c>
    </row>
    <row r="2482" spans="3:12">
      <c r="C2482">
        <v>2100300025</v>
      </c>
      <c r="D2482">
        <v>6426000</v>
      </c>
      <c r="E2482" t="s">
        <v>188</v>
      </c>
      <c r="F2482">
        <v>5210010105</v>
      </c>
      <c r="G2482" s="13">
        <v>6800</v>
      </c>
      <c r="I2482" t="s">
        <v>179</v>
      </c>
      <c r="J2482" t="s">
        <v>567</v>
      </c>
      <c r="K2482" t="s">
        <v>180</v>
      </c>
      <c r="L2482">
        <v>200031104</v>
      </c>
    </row>
    <row r="2483" spans="3:12">
      <c r="C2483">
        <v>2100300025</v>
      </c>
      <c r="D2483">
        <v>6426000</v>
      </c>
      <c r="E2483" t="s">
        <v>188</v>
      </c>
      <c r="F2483">
        <v>5210010105</v>
      </c>
      <c r="G2483" s="13">
        <v>110400</v>
      </c>
      <c r="I2483" t="s">
        <v>179</v>
      </c>
      <c r="J2483" t="s">
        <v>567</v>
      </c>
      <c r="K2483" t="s">
        <v>180</v>
      </c>
      <c r="L2483">
        <v>200031105</v>
      </c>
    </row>
    <row r="2484" spans="3:12">
      <c r="C2484">
        <v>2100300025</v>
      </c>
      <c r="D2484">
        <v>6426000</v>
      </c>
      <c r="E2484" t="s">
        <v>188</v>
      </c>
      <c r="F2484">
        <v>5210010105</v>
      </c>
      <c r="G2484" s="13">
        <v>11000</v>
      </c>
      <c r="I2484" t="s">
        <v>179</v>
      </c>
      <c r="J2484" t="s">
        <v>567</v>
      </c>
      <c r="K2484" t="s">
        <v>180</v>
      </c>
      <c r="L2484">
        <v>200027865</v>
      </c>
    </row>
    <row r="2485" spans="3:12">
      <c r="C2485">
        <v>2100300025</v>
      </c>
      <c r="D2485">
        <v>6426000</v>
      </c>
      <c r="E2485" t="s">
        <v>188</v>
      </c>
      <c r="F2485">
        <v>5210010105</v>
      </c>
      <c r="G2485" s="13">
        <v>90000</v>
      </c>
      <c r="I2485" t="s">
        <v>179</v>
      </c>
      <c r="J2485" t="s">
        <v>567</v>
      </c>
      <c r="K2485" t="s">
        <v>180</v>
      </c>
      <c r="L2485">
        <v>200031107</v>
      </c>
    </row>
    <row r="2486" spans="3:12">
      <c r="C2486">
        <v>2100300025</v>
      </c>
      <c r="D2486">
        <v>6426000</v>
      </c>
      <c r="E2486" t="s">
        <v>188</v>
      </c>
      <c r="F2486">
        <v>5210010105</v>
      </c>
      <c r="G2486" s="13">
        <v>3580</v>
      </c>
      <c r="I2486" t="s">
        <v>179</v>
      </c>
      <c r="J2486" t="s">
        <v>567</v>
      </c>
      <c r="K2486" t="s">
        <v>180</v>
      </c>
      <c r="L2486">
        <v>200029980</v>
      </c>
    </row>
    <row r="2487" spans="3:12">
      <c r="C2487">
        <v>2100300025</v>
      </c>
      <c r="D2487">
        <v>6426000</v>
      </c>
      <c r="E2487" t="s">
        <v>188</v>
      </c>
      <c r="F2487">
        <v>5210010105</v>
      </c>
      <c r="G2487" s="13">
        <v>1605</v>
      </c>
      <c r="I2487" t="s">
        <v>179</v>
      </c>
      <c r="J2487" t="s">
        <v>567</v>
      </c>
      <c r="K2487" t="s">
        <v>180</v>
      </c>
      <c r="L2487">
        <v>200029981</v>
      </c>
    </row>
    <row r="2488" spans="3:12">
      <c r="C2488">
        <v>2100300025</v>
      </c>
      <c r="D2488">
        <v>6426000</v>
      </c>
      <c r="E2488" t="s">
        <v>188</v>
      </c>
      <c r="F2488">
        <v>5210010105</v>
      </c>
      <c r="G2488" s="13">
        <v>2175</v>
      </c>
      <c r="I2488" t="s">
        <v>179</v>
      </c>
      <c r="J2488" t="s">
        <v>567</v>
      </c>
      <c r="K2488" t="s">
        <v>180</v>
      </c>
      <c r="L2488">
        <v>200031222</v>
      </c>
    </row>
    <row r="2489" spans="3:12">
      <c r="C2489">
        <v>2100300025</v>
      </c>
      <c r="D2489">
        <v>6426000</v>
      </c>
      <c r="E2489" t="s">
        <v>188</v>
      </c>
      <c r="F2489">
        <v>5210010105</v>
      </c>
      <c r="G2489" s="13">
        <v>54734</v>
      </c>
      <c r="I2489" t="s">
        <v>179</v>
      </c>
      <c r="J2489" t="s">
        <v>555</v>
      </c>
      <c r="K2489" t="s">
        <v>180</v>
      </c>
      <c r="L2489">
        <v>200029775</v>
      </c>
    </row>
    <row r="2490" spans="3:12">
      <c r="C2490">
        <v>2100300025</v>
      </c>
      <c r="D2490">
        <v>6426000</v>
      </c>
      <c r="E2490" t="s">
        <v>188</v>
      </c>
      <c r="F2490">
        <v>5210010105</v>
      </c>
      <c r="G2490" s="13">
        <v>2100</v>
      </c>
      <c r="I2490" t="s">
        <v>179</v>
      </c>
      <c r="J2490" t="s">
        <v>567</v>
      </c>
      <c r="K2490" t="s">
        <v>180</v>
      </c>
      <c r="L2490">
        <v>200029578</v>
      </c>
    </row>
    <row r="2491" spans="3:12">
      <c r="C2491">
        <v>2100300025</v>
      </c>
      <c r="D2491">
        <v>6426000</v>
      </c>
      <c r="E2491" t="s">
        <v>188</v>
      </c>
      <c r="F2491">
        <v>5210010105</v>
      </c>
      <c r="G2491" s="13">
        <v>2925</v>
      </c>
      <c r="I2491" t="s">
        <v>179</v>
      </c>
      <c r="J2491" t="s">
        <v>567</v>
      </c>
      <c r="K2491" t="s">
        <v>180</v>
      </c>
      <c r="L2491">
        <v>200031091</v>
      </c>
    </row>
    <row r="2492" spans="3:12">
      <c r="C2492">
        <v>2100300025</v>
      </c>
      <c r="D2492">
        <v>6426000</v>
      </c>
      <c r="E2492" t="s">
        <v>188</v>
      </c>
      <c r="F2492">
        <v>5210010105</v>
      </c>
      <c r="G2492" s="13">
        <v>1500</v>
      </c>
      <c r="I2492" t="s">
        <v>179</v>
      </c>
      <c r="J2492" t="s">
        <v>567</v>
      </c>
      <c r="K2492" t="s">
        <v>180</v>
      </c>
      <c r="L2492">
        <v>200031092</v>
      </c>
    </row>
    <row r="2493" spans="3:12">
      <c r="C2493">
        <v>2100300025</v>
      </c>
      <c r="D2493">
        <v>6426000</v>
      </c>
      <c r="E2493" t="s">
        <v>188</v>
      </c>
      <c r="F2493">
        <v>5210010105</v>
      </c>
      <c r="G2493" s="13">
        <v>1890.05</v>
      </c>
      <c r="I2493" t="s">
        <v>179</v>
      </c>
      <c r="J2493" t="s">
        <v>567</v>
      </c>
      <c r="K2493" t="s">
        <v>180</v>
      </c>
      <c r="L2493">
        <v>200029583</v>
      </c>
    </row>
    <row r="2494" spans="3:12">
      <c r="C2494">
        <v>2100300025</v>
      </c>
      <c r="D2494">
        <v>6426000</v>
      </c>
      <c r="E2494" t="s">
        <v>188</v>
      </c>
      <c r="F2494">
        <v>5210010105</v>
      </c>
      <c r="G2494" s="13">
        <v>1852.2</v>
      </c>
      <c r="I2494" t="s">
        <v>179</v>
      </c>
      <c r="J2494" t="s">
        <v>567</v>
      </c>
      <c r="K2494" t="s">
        <v>180</v>
      </c>
      <c r="L2494">
        <v>200031094</v>
      </c>
    </row>
    <row r="2495" spans="3:12">
      <c r="C2495">
        <v>2100300025</v>
      </c>
      <c r="D2495">
        <v>6426000</v>
      </c>
      <c r="E2495" t="s">
        <v>188</v>
      </c>
      <c r="F2495">
        <v>5210010105</v>
      </c>
      <c r="G2495" s="13">
        <v>2000</v>
      </c>
      <c r="I2495" t="s">
        <v>179</v>
      </c>
      <c r="J2495" t="s">
        <v>567</v>
      </c>
      <c r="K2495" t="s">
        <v>180</v>
      </c>
      <c r="L2495">
        <v>200031225</v>
      </c>
    </row>
    <row r="2496" spans="3:12">
      <c r="C2496">
        <v>2100300025</v>
      </c>
      <c r="D2496">
        <v>6426000</v>
      </c>
      <c r="E2496" t="s">
        <v>188</v>
      </c>
      <c r="F2496">
        <v>5210010105</v>
      </c>
      <c r="G2496" s="13">
        <v>3740</v>
      </c>
      <c r="I2496" t="s">
        <v>179</v>
      </c>
      <c r="J2496" t="s">
        <v>567</v>
      </c>
      <c r="K2496" t="s">
        <v>180</v>
      </c>
      <c r="L2496">
        <v>200029584</v>
      </c>
    </row>
    <row r="2497" spans="3:12">
      <c r="C2497">
        <v>2100300025</v>
      </c>
      <c r="D2497">
        <v>6426000</v>
      </c>
      <c r="E2497" t="s">
        <v>188</v>
      </c>
      <c r="F2497">
        <v>5210010105</v>
      </c>
      <c r="G2497" s="13">
        <v>1520</v>
      </c>
      <c r="I2497" t="s">
        <v>179</v>
      </c>
      <c r="J2497" t="s">
        <v>567</v>
      </c>
      <c r="K2497" t="s">
        <v>180</v>
      </c>
      <c r="L2497">
        <v>200029585</v>
      </c>
    </row>
    <row r="2498" spans="3:12">
      <c r="C2498">
        <v>2100300025</v>
      </c>
      <c r="D2498">
        <v>6426000</v>
      </c>
      <c r="E2498" t="s">
        <v>188</v>
      </c>
      <c r="F2498">
        <v>5210010105</v>
      </c>
      <c r="G2498" s="13">
        <v>1000</v>
      </c>
      <c r="I2498" t="s">
        <v>179</v>
      </c>
      <c r="J2498" t="s">
        <v>567</v>
      </c>
      <c r="K2498" t="s">
        <v>180</v>
      </c>
      <c r="L2498">
        <v>200029586</v>
      </c>
    </row>
    <row r="2499" spans="3:12">
      <c r="C2499">
        <v>2100300025</v>
      </c>
      <c r="D2499">
        <v>6426000</v>
      </c>
      <c r="E2499" t="s">
        <v>188</v>
      </c>
      <c r="F2499">
        <v>5210010105</v>
      </c>
      <c r="G2499" s="13">
        <v>1500</v>
      </c>
      <c r="I2499" t="s">
        <v>179</v>
      </c>
      <c r="J2499" t="s">
        <v>567</v>
      </c>
      <c r="K2499" t="s">
        <v>180</v>
      </c>
      <c r="L2499">
        <v>200029991</v>
      </c>
    </row>
    <row r="2500" spans="3:12">
      <c r="C2500">
        <v>2100300025</v>
      </c>
      <c r="D2500">
        <v>6426000</v>
      </c>
      <c r="E2500" t="s">
        <v>188</v>
      </c>
      <c r="F2500">
        <v>5210010105</v>
      </c>
      <c r="G2500" s="13">
        <v>99800</v>
      </c>
      <c r="I2500" t="s">
        <v>179</v>
      </c>
      <c r="J2500" t="s">
        <v>567</v>
      </c>
      <c r="K2500" t="s">
        <v>180</v>
      </c>
      <c r="L2500">
        <v>200029992</v>
      </c>
    </row>
    <row r="2501" spans="3:12">
      <c r="C2501">
        <v>2100300025</v>
      </c>
      <c r="D2501">
        <v>6426000</v>
      </c>
      <c r="E2501" t="s">
        <v>188</v>
      </c>
      <c r="F2501">
        <v>5210010105</v>
      </c>
      <c r="G2501" s="13">
        <v>245180</v>
      </c>
      <c r="I2501" t="s">
        <v>179</v>
      </c>
      <c r="J2501" t="s">
        <v>913</v>
      </c>
      <c r="K2501" t="s">
        <v>180</v>
      </c>
      <c r="L2501">
        <v>200033672</v>
      </c>
    </row>
    <row r="2502" spans="3:12">
      <c r="C2502">
        <v>2100300025</v>
      </c>
      <c r="D2502">
        <v>6426000</v>
      </c>
      <c r="E2502" t="s">
        <v>188</v>
      </c>
      <c r="F2502">
        <v>5210010105</v>
      </c>
      <c r="G2502" s="13">
        <v>6000</v>
      </c>
      <c r="I2502" t="s">
        <v>179</v>
      </c>
      <c r="J2502" t="s">
        <v>913</v>
      </c>
      <c r="K2502" t="s">
        <v>180</v>
      </c>
      <c r="L2502">
        <v>200033534</v>
      </c>
    </row>
    <row r="2503" spans="3:12">
      <c r="C2503">
        <v>2100300025</v>
      </c>
      <c r="D2503">
        <v>6426000</v>
      </c>
      <c r="E2503" t="s">
        <v>188</v>
      </c>
      <c r="F2503">
        <v>5210010105</v>
      </c>
      <c r="G2503" s="13">
        <v>2400</v>
      </c>
      <c r="I2503" t="s">
        <v>179</v>
      </c>
      <c r="J2503" t="s">
        <v>913</v>
      </c>
      <c r="K2503" t="s">
        <v>180</v>
      </c>
      <c r="L2503">
        <v>200033690</v>
      </c>
    </row>
    <row r="2504" spans="3:12">
      <c r="C2504">
        <v>2100300025</v>
      </c>
      <c r="D2504">
        <v>6426000</v>
      </c>
      <c r="E2504" t="s">
        <v>188</v>
      </c>
      <c r="F2504">
        <v>5210010105</v>
      </c>
      <c r="G2504" s="13">
        <v>1930</v>
      </c>
      <c r="I2504" t="s">
        <v>179</v>
      </c>
      <c r="J2504" t="s">
        <v>799</v>
      </c>
      <c r="K2504" t="s">
        <v>180</v>
      </c>
      <c r="L2504">
        <v>200034464</v>
      </c>
    </row>
    <row r="2505" spans="3:12">
      <c r="C2505">
        <v>2100300025</v>
      </c>
      <c r="D2505">
        <v>6426000</v>
      </c>
      <c r="E2505" t="s">
        <v>188</v>
      </c>
      <c r="F2505">
        <v>5210010105</v>
      </c>
      <c r="G2505">
        <v>950</v>
      </c>
      <c r="I2505" t="s">
        <v>179</v>
      </c>
      <c r="J2505" t="s">
        <v>799</v>
      </c>
      <c r="K2505" t="s">
        <v>180</v>
      </c>
      <c r="L2505">
        <v>200035914</v>
      </c>
    </row>
    <row r="2506" spans="3:12">
      <c r="C2506">
        <v>2100300025</v>
      </c>
      <c r="D2506">
        <v>6426000</v>
      </c>
      <c r="E2506" t="s">
        <v>188</v>
      </c>
      <c r="F2506">
        <v>5210010105</v>
      </c>
      <c r="G2506" s="13">
        <v>3210</v>
      </c>
      <c r="I2506" t="s">
        <v>179</v>
      </c>
      <c r="J2506" t="s">
        <v>799</v>
      </c>
      <c r="K2506" t="s">
        <v>180</v>
      </c>
      <c r="L2506">
        <v>200035916</v>
      </c>
    </row>
    <row r="2507" spans="3:12">
      <c r="C2507">
        <v>2100300025</v>
      </c>
      <c r="D2507">
        <v>6426000</v>
      </c>
      <c r="E2507" t="s">
        <v>188</v>
      </c>
      <c r="F2507">
        <v>5210010105</v>
      </c>
      <c r="G2507" s="13">
        <v>3800</v>
      </c>
      <c r="I2507" t="s">
        <v>179</v>
      </c>
      <c r="J2507" t="s">
        <v>799</v>
      </c>
      <c r="K2507" t="s">
        <v>180</v>
      </c>
      <c r="L2507">
        <v>200035865</v>
      </c>
    </row>
    <row r="2508" spans="3:12">
      <c r="C2508">
        <v>2100300025</v>
      </c>
      <c r="D2508">
        <v>6426000</v>
      </c>
      <c r="E2508" t="s">
        <v>188</v>
      </c>
      <c r="F2508">
        <v>5210010105</v>
      </c>
      <c r="G2508" s="13">
        <v>2086.5</v>
      </c>
      <c r="I2508" t="s">
        <v>179</v>
      </c>
      <c r="J2508" t="s">
        <v>799</v>
      </c>
      <c r="K2508" t="s">
        <v>180</v>
      </c>
      <c r="L2508">
        <v>200035867</v>
      </c>
    </row>
    <row r="2509" spans="3:12">
      <c r="C2509">
        <v>2100300025</v>
      </c>
      <c r="D2509">
        <v>6426000</v>
      </c>
      <c r="E2509" t="s">
        <v>188</v>
      </c>
      <c r="F2509">
        <v>5210010105</v>
      </c>
      <c r="G2509" s="13">
        <v>2030</v>
      </c>
      <c r="I2509" t="s">
        <v>179</v>
      </c>
      <c r="J2509" t="s">
        <v>799</v>
      </c>
      <c r="K2509" t="s">
        <v>180</v>
      </c>
      <c r="L2509">
        <v>200035920</v>
      </c>
    </row>
    <row r="2510" spans="3:12">
      <c r="C2510">
        <v>2100300025</v>
      </c>
      <c r="D2510">
        <v>6426000</v>
      </c>
      <c r="E2510" t="s">
        <v>188</v>
      </c>
      <c r="F2510">
        <v>5210010105</v>
      </c>
      <c r="G2510" s="13">
        <v>1560</v>
      </c>
      <c r="I2510" t="s">
        <v>179</v>
      </c>
      <c r="J2510" t="s">
        <v>799</v>
      </c>
      <c r="K2510" t="s">
        <v>180</v>
      </c>
      <c r="L2510">
        <v>200034757</v>
      </c>
    </row>
    <row r="2511" spans="3:12">
      <c r="C2511">
        <v>2100300025</v>
      </c>
      <c r="D2511">
        <v>6426000</v>
      </c>
      <c r="E2511" t="s">
        <v>188</v>
      </c>
      <c r="F2511">
        <v>5210010105</v>
      </c>
      <c r="G2511" s="13">
        <v>111000</v>
      </c>
      <c r="I2511" t="s">
        <v>179</v>
      </c>
      <c r="J2511" t="s">
        <v>799</v>
      </c>
      <c r="K2511" t="s">
        <v>180</v>
      </c>
      <c r="L2511">
        <v>200035930</v>
      </c>
    </row>
    <row r="2512" spans="3:12">
      <c r="C2512">
        <v>2100300025</v>
      </c>
      <c r="D2512">
        <v>6426000</v>
      </c>
      <c r="E2512" t="s">
        <v>188</v>
      </c>
      <c r="F2512">
        <v>5210010105</v>
      </c>
      <c r="G2512" s="13">
        <v>18984</v>
      </c>
      <c r="I2512" t="s">
        <v>179</v>
      </c>
      <c r="J2512" t="s">
        <v>799</v>
      </c>
      <c r="K2512" t="s">
        <v>180</v>
      </c>
      <c r="L2512">
        <v>200034578</v>
      </c>
    </row>
    <row r="2513" spans="3:12">
      <c r="C2513">
        <v>2100300025</v>
      </c>
      <c r="D2513">
        <v>6426000</v>
      </c>
      <c r="E2513" t="s">
        <v>188</v>
      </c>
      <c r="F2513">
        <v>5210010105</v>
      </c>
      <c r="G2513" s="13">
        <v>5479</v>
      </c>
      <c r="I2513" t="s">
        <v>179</v>
      </c>
      <c r="J2513" t="s">
        <v>799</v>
      </c>
      <c r="K2513" t="s">
        <v>180</v>
      </c>
      <c r="L2513">
        <v>200034720</v>
      </c>
    </row>
    <row r="2514" spans="3:12">
      <c r="C2514">
        <v>2100300025</v>
      </c>
      <c r="D2514">
        <v>6426000</v>
      </c>
      <c r="E2514" t="s">
        <v>188</v>
      </c>
      <c r="F2514">
        <v>5210010105</v>
      </c>
      <c r="G2514" s="13">
        <v>94000</v>
      </c>
      <c r="I2514" t="s">
        <v>179</v>
      </c>
      <c r="J2514" t="s">
        <v>799</v>
      </c>
      <c r="K2514" t="s">
        <v>180</v>
      </c>
      <c r="L2514">
        <v>200034722</v>
      </c>
    </row>
    <row r="2515" spans="3:12">
      <c r="C2515">
        <v>2100300025</v>
      </c>
      <c r="D2515">
        <v>6426000</v>
      </c>
      <c r="E2515" t="s">
        <v>188</v>
      </c>
      <c r="F2515">
        <v>5210010105</v>
      </c>
      <c r="G2515" s="13">
        <v>16906</v>
      </c>
      <c r="I2515" t="s">
        <v>179</v>
      </c>
      <c r="J2515" t="s">
        <v>799</v>
      </c>
      <c r="K2515" t="s">
        <v>180</v>
      </c>
      <c r="L2515">
        <v>200034590</v>
      </c>
    </row>
    <row r="2516" spans="3:12">
      <c r="C2516">
        <v>2100300025</v>
      </c>
      <c r="D2516">
        <v>6426000</v>
      </c>
      <c r="E2516" t="s">
        <v>188</v>
      </c>
      <c r="F2516">
        <v>5210010105</v>
      </c>
      <c r="G2516" s="13">
        <v>22470</v>
      </c>
      <c r="I2516" t="s">
        <v>179</v>
      </c>
      <c r="J2516" t="s">
        <v>799</v>
      </c>
      <c r="K2516" t="s">
        <v>180</v>
      </c>
      <c r="L2516">
        <v>200034592</v>
      </c>
    </row>
    <row r="2517" spans="3:12">
      <c r="C2517">
        <v>2100300025</v>
      </c>
      <c r="D2517">
        <v>6426000</v>
      </c>
      <c r="E2517" t="s">
        <v>188</v>
      </c>
      <c r="F2517">
        <v>5210010105</v>
      </c>
      <c r="G2517" s="13">
        <v>269832.59999999998</v>
      </c>
      <c r="I2517" t="s">
        <v>179</v>
      </c>
      <c r="J2517" t="s">
        <v>799</v>
      </c>
      <c r="K2517" t="s">
        <v>180</v>
      </c>
      <c r="L2517">
        <v>200034114</v>
      </c>
    </row>
    <row r="2518" spans="3:12">
      <c r="C2518">
        <v>2100300025</v>
      </c>
      <c r="D2518">
        <v>6426000</v>
      </c>
      <c r="E2518" t="s">
        <v>188</v>
      </c>
      <c r="F2518">
        <v>5210010105</v>
      </c>
      <c r="G2518" s="13">
        <v>6045</v>
      </c>
      <c r="I2518" t="s">
        <v>179</v>
      </c>
      <c r="J2518" t="s">
        <v>799</v>
      </c>
      <c r="K2518" t="s">
        <v>180</v>
      </c>
      <c r="L2518">
        <v>200034597</v>
      </c>
    </row>
    <row r="2519" spans="3:12">
      <c r="C2519">
        <v>2100300025</v>
      </c>
      <c r="D2519">
        <v>6426000</v>
      </c>
      <c r="E2519" t="s">
        <v>188</v>
      </c>
      <c r="F2519">
        <v>5210010105</v>
      </c>
      <c r="G2519" s="13">
        <v>166920</v>
      </c>
      <c r="I2519" t="s">
        <v>179</v>
      </c>
      <c r="J2519" t="s">
        <v>799</v>
      </c>
      <c r="K2519" t="s">
        <v>180</v>
      </c>
      <c r="L2519">
        <v>200034599</v>
      </c>
    </row>
    <row r="2520" spans="3:12">
      <c r="C2520">
        <v>2100300025</v>
      </c>
      <c r="D2520">
        <v>6426000</v>
      </c>
      <c r="E2520" t="s">
        <v>188</v>
      </c>
      <c r="F2520">
        <v>5210010105</v>
      </c>
      <c r="G2520" s="13">
        <v>160000</v>
      </c>
      <c r="I2520" t="s">
        <v>179</v>
      </c>
      <c r="J2520" t="s">
        <v>799</v>
      </c>
      <c r="K2520" t="s">
        <v>180</v>
      </c>
      <c r="L2520">
        <v>200001087</v>
      </c>
    </row>
    <row r="2521" spans="3:12">
      <c r="C2521">
        <v>2100300025</v>
      </c>
      <c r="D2521">
        <v>6426000</v>
      </c>
      <c r="E2521" t="s">
        <v>188</v>
      </c>
      <c r="F2521">
        <v>5210010105</v>
      </c>
      <c r="G2521" s="13">
        <v>18725</v>
      </c>
      <c r="I2521" t="s">
        <v>179</v>
      </c>
      <c r="J2521" t="s">
        <v>799</v>
      </c>
      <c r="K2521" t="s">
        <v>180</v>
      </c>
      <c r="L2521">
        <v>200034431</v>
      </c>
    </row>
    <row r="2522" spans="3:12">
      <c r="C2522">
        <v>2100300025</v>
      </c>
      <c r="D2522">
        <v>6426000</v>
      </c>
      <c r="E2522" t="s">
        <v>188</v>
      </c>
      <c r="F2522">
        <v>5210010105</v>
      </c>
      <c r="G2522" s="13">
        <v>8876</v>
      </c>
      <c r="I2522" t="s">
        <v>179</v>
      </c>
      <c r="J2522" t="s">
        <v>914</v>
      </c>
      <c r="K2522" t="s">
        <v>180</v>
      </c>
      <c r="L2522">
        <v>200040471</v>
      </c>
    </row>
    <row r="2523" spans="3:12">
      <c r="C2523">
        <v>2100300025</v>
      </c>
      <c r="D2523">
        <v>6426000</v>
      </c>
      <c r="E2523" t="s">
        <v>188</v>
      </c>
      <c r="F2523">
        <v>5210010105</v>
      </c>
      <c r="G2523" s="13">
        <v>8250</v>
      </c>
      <c r="I2523" t="s">
        <v>179</v>
      </c>
      <c r="J2523" t="s">
        <v>914</v>
      </c>
      <c r="K2523" t="s">
        <v>180</v>
      </c>
      <c r="L2523">
        <v>200040614</v>
      </c>
    </row>
    <row r="2524" spans="3:12">
      <c r="C2524">
        <v>2100300025</v>
      </c>
      <c r="D2524">
        <v>6426000</v>
      </c>
      <c r="E2524" t="s">
        <v>188</v>
      </c>
      <c r="F2524">
        <v>5210010105</v>
      </c>
      <c r="G2524" s="13">
        <v>2130</v>
      </c>
      <c r="I2524" t="s">
        <v>179</v>
      </c>
      <c r="J2524" t="s">
        <v>567</v>
      </c>
      <c r="K2524" t="s">
        <v>180</v>
      </c>
      <c r="L2524">
        <v>200029983</v>
      </c>
    </row>
    <row r="2525" spans="3:12">
      <c r="C2525">
        <v>2100300025</v>
      </c>
      <c r="D2525">
        <v>6426000</v>
      </c>
      <c r="E2525" t="s">
        <v>188</v>
      </c>
      <c r="F2525">
        <v>5210010105</v>
      </c>
      <c r="G2525" s="13">
        <v>33480</v>
      </c>
      <c r="I2525" t="s">
        <v>179</v>
      </c>
      <c r="J2525" t="s">
        <v>555</v>
      </c>
      <c r="K2525" t="s">
        <v>180</v>
      </c>
      <c r="L2525">
        <v>200029917</v>
      </c>
    </row>
    <row r="2526" spans="3:12">
      <c r="C2526">
        <v>2100300025</v>
      </c>
      <c r="D2526">
        <v>6426000</v>
      </c>
      <c r="E2526" t="s">
        <v>188</v>
      </c>
      <c r="F2526">
        <v>5210010105</v>
      </c>
      <c r="G2526" s="13">
        <v>6000</v>
      </c>
      <c r="I2526" t="s">
        <v>179</v>
      </c>
      <c r="J2526" t="s">
        <v>555</v>
      </c>
      <c r="K2526" t="s">
        <v>180</v>
      </c>
      <c r="L2526">
        <v>200029779</v>
      </c>
    </row>
    <row r="2527" spans="3:12">
      <c r="C2527">
        <v>2100300025</v>
      </c>
      <c r="D2527">
        <v>6426000</v>
      </c>
      <c r="E2527" t="s">
        <v>188</v>
      </c>
      <c r="F2527">
        <v>5210010105</v>
      </c>
      <c r="G2527" s="13">
        <v>32739</v>
      </c>
      <c r="I2527" t="s">
        <v>179</v>
      </c>
      <c r="J2527" t="s">
        <v>555</v>
      </c>
      <c r="K2527" t="s">
        <v>180</v>
      </c>
      <c r="L2527">
        <v>200029780</v>
      </c>
    </row>
    <row r="2528" spans="3:12">
      <c r="C2528">
        <v>2100300025</v>
      </c>
      <c r="D2528">
        <v>6426000</v>
      </c>
      <c r="E2528" t="s">
        <v>188</v>
      </c>
      <c r="F2528">
        <v>5210010105</v>
      </c>
      <c r="G2528" s="13">
        <v>36580</v>
      </c>
      <c r="I2528" t="s">
        <v>179</v>
      </c>
      <c r="J2528" t="s">
        <v>555</v>
      </c>
      <c r="K2528" t="s">
        <v>180</v>
      </c>
      <c r="L2528">
        <v>200029918</v>
      </c>
    </row>
    <row r="2529" spans="3:12">
      <c r="C2529">
        <v>2100300025</v>
      </c>
      <c r="D2529">
        <v>6426000</v>
      </c>
      <c r="E2529" t="s">
        <v>188</v>
      </c>
      <c r="F2529">
        <v>5210010105</v>
      </c>
      <c r="G2529" s="13">
        <v>81076.039999999994</v>
      </c>
      <c r="I2529" t="s">
        <v>179</v>
      </c>
      <c r="J2529" t="s">
        <v>555</v>
      </c>
      <c r="K2529" t="s">
        <v>180</v>
      </c>
      <c r="L2529">
        <v>200029781</v>
      </c>
    </row>
    <row r="2530" spans="3:12">
      <c r="C2530">
        <v>2100300025</v>
      </c>
      <c r="D2530">
        <v>6426000</v>
      </c>
      <c r="E2530" t="s">
        <v>188</v>
      </c>
      <c r="F2530">
        <v>5210010105</v>
      </c>
      <c r="G2530" s="13">
        <v>27300</v>
      </c>
      <c r="I2530" t="s">
        <v>179</v>
      </c>
      <c r="J2530" t="s">
        <v>555</v>
      </c>
      <c r="K2530" t="s">
        <v>180</v>
      </c>
      <c r="L2530">
        <v>200029782</v>
      </c>
    </row>
    <row r="2531" spans="3:12">
      <c r="C2531">
        <v>2100300025</v>
      </c>
      <c r="D2531">
        <v>6426000</v>
      </c>
      <c r="E2531" t="s">
        <v>188</v>
      </c>
      <c r="F2531">
        <v>5210010105</v>
      </c>
      <c r="G2531" s="13">
        <v>11159</v>
      </c>
      <c r="I2531" t="s">
        <v>179</v>
      </c>
      <c r="J2531" t="s">
        <v>555</v>
      </c>
      <c r="K2531" t="s">
        <v>180</v>
      </c>
      <c r="L2531">
        <v>200029795</v>
      </c>
    </row>
    <row r="2532" spans="3:12">
      <c r="C2532">
        <v>2100300025</v>
      </c>
      <c r="D2532">
        <v>6426000</v>
      </c>
      <c r="E2532" t="s">
        <v>188</v>
      </c>
      <c r="F2532">
        <v>5210010105</v>
      </c>
      <c r="G2532" s="13">
        <v>4280</v>
      </c>
      <c r="I2532" t="s">
        <v>179</v>
      </c>
      <c r="J2532" t="s">
        <v>555</v>
      </c>
      <c r="K2532" t="s">
        <v>180</v>
      </c>
      <c r="L2532">
        <v>200024886</v>
      </c>
    </row>
    <row r="2533" spans="3:12">
      <c r="C2533">
        <v>2100300025</v>
      </c>
      <c r="D2533">
        <v>6426000</v>
      </c>
      <c r="E2533" t="s">
        <v>188</v>
      </c>
      <c r="F2533">
        <v>5210010105</v>
      </c>
      <c r="G2533" s="13">
        <v>16800</v>
      </c>
      <c r="I2533" t="s">
        <v>179</v>
      </c>
      <c r="J2533" t="s">
        <v>904</v>
      </c>
      <c r="K2533" t="s">
        <v>180</v>
      </c>
      <c r="L2533">
        <v>200027072</v>
      </c>
    </row>
    <row r="2534" spans="3:12">
      <c r="C2534">
        <v>2100300025</v>
      </c>
      <c r="D2534">
        <v>6426000</v>
      </c>
      <c r="E2534" t="s">
        <v>188</v>
      </c>
      <c r="F2534">
        <v>5210010105</v>
      </c>
      <c r="G2534" s="13">
        <v>27360</v>
      </c>
      <c r="I2534" t="s">
        <v>179</v>
      </c>
      <c r="J2534" t="s">
        <v>904</v>
      </c>
      <c r="K2534" t="s">
        <v>180</v>
      </c>
      <c r="L2534">
        <v>200025398</v>
      </c>
    </row>
    <row r="2535" spans="3:12">
      <c r="C2535">
        <v>2100300025</v>
      </c>
      <c r="D2535">
        <v>6426000</v>
      </c>
      <c r="E2535" t="s">
        <v>188</v>
      </c>
      <c r="F2535">
        <v>5210010105</v>
      </c>
      <c r="G2535" s="13">
        <v>238180</v>
      </c>
      <c r="I2535" t="s">
        <v>179</v>
      </c>
      <c r="J2535" t="s">
        <v>905</v>
      </c>
      <c r="K2535" t="s">
        <v>180</v>
      </c>
      <c r="L2535">
        <v>200029135</v>
      </c>
    </row>
    <row r="2536" spans="3:12">
      <c r="C2536">
        <v>2100300025</v>
      </c>
      <c r="D2536">
        <v>6426000</v>
      </c>
      <c r="E2536" t="s">
        <v>188</v>
      </c>
      <c r="F2536">
        <v>5210010105</v>
      </c>
      <c r="G2536" s="13">
        <v>101400</v>
      </c>
      <c r="I2536" t="s">
        <v>179</v>
      </c>
      <c r="J2536" t="s">
        <v>905</v>
      </c>
      <c r="K2536" t="s">
        <v>180</v>
      </c>
      <c r="L2536">
        <v>200029136</v>
      </c>
    </row>
    <row r="2537" spans="3:12">
      <c r="C2537">
        <v>2100300025</v>
      </c>
      <c r="D2537">
        <v>6426000</v>
      </c>
      <c r="E2537" t="s">
        <v>188</v>
      </c>
      <c r="F2537">
        <v>5210010105</v>
      </c>
      <c r="G2537" s="13">
        <v>133250</v>
      </c>
      <c r="I2537" t="s">
        <v>179</v>
      </c>
      <c r="J2537" t="s">
        <v>905</v>
      </c>
      <c r="K2537" t="s">
        <v>180</v>
      </c>
      <c r="L2537">
        <v>200029091</v>
      </c>
    </row>
    <row r="2538" spans="3:12">
      <c r="C2538">
        <v>2100300025</v>
      </c>
      <c r="D2538">
        <v>6426000</v>
      </c>
      <c r="E2538" t="s">
        <v>188</v>
      </c>
      <c r="F2538">
        <v>5210010105</v>
      </c>
      <c r="G2538" s="13">
        <v>208650</v>
      </c>
      <c r="I2538" t="s">
        <v>179</v>
      </c>
      <c r="J2538" t="s">
        <v>905</v>
      </c>
      <c r="K2538" t="s">
        <v>180</v>
      </c>
      <c r="L2538">
        <v>200029400</v>
      </c>
    </row>
    <row r="2539" spans="3:12">
      <c r="C2539">
        <v>2100300025</v>
      </c>
      <c r="D2539">
        <v>6426000</v>
      </c>
      <c r="E2539" t="s">
        <v>188</v>
      </c>
      <c r="F2539">
        <v>5210010105</v>
      </c>
      <c r="G2539" s="13">
        <v>303880</v>
      </c>
      <c r="I2539" t="s">
        <v>179</v>
      </c>
      <c r="J2539" t="s">
        <v>905</v>
      </c>
      <c r="K2539" t="s">
        <v>180</v>
      </c>
      <c r="L2539">
        <v>200027853</v>
      </c>
    </row>
    <row r="2540" spans="3:12">
      <c r="C2540">
        <v>2100300025</v>
      </c>
      <c r="D2540">
        <v>6426000</v>
      </c>
      <c r="E2540" t="s">
        <v>188</v>
      </c>
      <c r="F2540">
        <v>5210010105</v>
      </c>
      <c r="G2540" s="13">
        <v>69550</v>
      </c>
      <c r="I2540" t="s">
        <v>179</v>
      </c>
      <c r="J2540" t="s">
        <v>905</v>
      </c>
      <c r="K2540" t="s">
        <v>180</v>
      </c>
      <c r="L2540">
        <v>200029137</v>
      </c>
    </row>
    <row r="2541" spans="3:12">
      <c r="C2541">
        <v>2100300025</v>
      </c>
      <c r="D2541">
        <v>6426000</v>
      </c>
      <c r="E2541" t="s">
        <v>188</v>
      </c>
      <c r="F2541">
        <v>5210010105</v>
      </c>
      <c r="G2541" s="13">
        <v>59400</v>
      </c>
      <c r="I2541" t="s">
        <v>179</v>
      </c>
      <c r="J2541" t="s">
        <v>905</v>
      </c>
      <c r="K2541" t="s">
        <v>180</v>
      </c>
      <c r="L2541">
        <v>200019391</v>
      </c>
    </row>
    <row r="2542" spans="3:12">
      <c r="C2542">
        <v>2100300025</v>
      </c>
      <c r="D2542">
        <v>6426000</v>
      </c>
      <c r="E2542" t="s">
        <v>188</v>
      </c>
      <c r="F2542">
        <v>5210010105</v>
      </c>
      <c r="G2542" s="13">
        <v>38748.92</v>
      </c>
      <c r="I2542" t="s">
        <v>179</v>
      </c>
      <c r="J2542" t="s">
        <v>906</v>
      </c>
      <c r="K2542" t="s">
        <v>180</v>
      </c>
      <c r="L2542">
        <v>200025484</v>
      </c>
    </row>
    <row r="2543" spans="3:12">
      <c r="C2543">
        <v>2100300025</v>
      </c>
      <c r="D2543">
        <v>6426000</v>
      </c>
      <c r="E2543" t="s">
        <v>188</v>
      </c>
      <c r="F2543">
        <v>5210010105</v>
      </c>
      <c r="G2543" s="13">
        <v>5900</v>
      </c>
      <c r="I2543" t="s">
        <v>179</v>
      </c>
      <c r="J2543" t="s">
        <v>872</v>
      </c>
      <c r="K2543" t="s">
        <v>180</v>
      </c>
      <c r="L2543">
        <v>200032618</v>
      </c>
    </row>
    <row r="2544" spans="3:12">
      <c r="C2544">
        <v>2100300025</v>
      </c>
      <c r="D2544">
        <v>6426000</v>
      </c>
      <c r="E2544" t="s">
        <v>188</v>
      </c>
      <c r="F2544">
        <v>5210010105</v>
      </c>
      <c r="G2544" s="13">
        <v>5300</v>
      </c>
      <c r="I2544" t="s">
        <v>179</v>
      </c>
      <c r="J2544" t="s">
        <v>872</v>
      </c>
      <c r="K2544" t="s">
        <v>180</v>
      </c>
      <c r="L2544">
        <v>200032620</v>
      </c>
    </row>
    <row r="2545" spans="3:12">
      <c r="C2545">
        <v>2100300025</v>
      </c>
      <c r="D2545">
        <v>6426000</v>
      </c>
      <c r="E2545" t="s">
        <v>188</v>
      </c>
      <c r="F2545">
        <v>5210010105</v>
      </c>
      <c r="G2545" s="13">
        <v>13200</v>
      </c>
      <c r="I2545" t="s">
        <v>179</v>
      </c>
      <c r="J2545" t="s">
        <v>872</v>
      </c>
      <c r="K2545" t="s">
        <v>180</v>
      </c>
      <c r="L2545">
        <v>200032735</v>
      </c>
    </row>
    <row r="2546" spans="3:12">
      <c r="C2546">
        <v>2100300025</v>
      </c>
      <c r="D2546">
        <v>6426000</v>
      </c>
      <c r="E2546" t="s">
        <v>188</v>
      </c>
      <c r="F2546">
        <v>5210010105</v>
      </c>
      <c r="G2546" s="13">
        <v>42650</v>
      </c>
      <c r="I2546" t="s">
        <v>179</v>
      </c>
      <c r="J2546" t="s">
        <v>872</v>
      </c>
      <c r="K2546" t="s">
        <v>180</v>
      </c>
      <c r="L2546">
        <v>200027425</v>
      </c>
    </row>
    <row r="2547" spans="3:12">
      <c r="C2547">
        <v>2100300025</v>
      </c>
      <c r="D2547">
        <v>6426000</v>
      </c>
      <c r="E2547" t="s">
        <v>188</v>
      </c>
      <c r="F2547">
        <v>5210010105</v>
      </c>
      <c r="G2547" s="13">
        <v>74267</v>
      </c>
      <c r="I2547" t="s">
        <v>179</v>
      </c>
      <c r="J2547" t="s">
        <v>872</v>
      </c>
      <c r="K2547" t="s">
        <v>180</v>
      </c>
      <c r="L2547">
        <v>200032367</v>
      </c>
    </row>
    <row r="2548" spans="3:12">
      <c r="C2548">
        <v>2100300025</v>
      </c>
      <c r="D2548">
        <v>6426000</v>
      </c>
      <c r="E2548" t="s">
        <v>188</v>
      </c>
      <c r="F2548">
        <v>5210010105</v>
      </c>
      <c r="G2548" s="13">
        <v>3625</v>
      </c>
      <c r="I2548" t="s">
        <v>179</v>
      </c>
      <c r="J2548" t="s">
        <v>872</v>
      </c>
      <c r="K2548" t="s">
        <v>180</v>
      </c>
      <c r="L2548">
        <v>200032386</v>
      </c>
    </row>
    <row r="2549" spans="3:12">
      <c r="C2549">
        <v>2100300025</v>
      </c>
      <c r="D2549">
        <v>6426000</v>
      </c>
      <c r="E2549" t="s">
        <v>188</v>
      </c>
      <c r="F2549">
        <v>5210010105</v>
      </c>
      <c r="G2549" s="13">
        <v>2270</v>
      </c>
      <c r="I2549" t="s">
        <v>179</v>
      </c>
      <c r="J2549" t="s">
        <v>872</v>
      </c>
      <c r="K2549" t="s">
        <v>180</v>
      </c>
      <c r="L2549">
        <v>200032922</v>
      </c>
    </row>
    <row r="2550" spans="3:12">
      <c r="C2550">
        <v>2100300025</v>
      </c>
      <c r="D2550">
        <v>6426000</v>
      </c>
      <c r="E2550" t="s">
        <v>188</v>
      </c>
      <c r="F2550">
        <v>5210010105</v>
      </c>
      <c r="G2550" s="13">
        <v>7556</v>
      </c>
      <c r="I2550" t="s">
        <v>179</v>
      </c>
      <c r="J2550" t="s">
        <v>906</v>
      </c>
      <c r="K2550" t="s">
        <v>180</v>
      </c>
      <c r="L2550">
        <v>200027001</v>
      </c>
    </row>
    <row r="2551" spans="3:12">
      <c r="C2551">
        <v>2100300025</v>
      </c>
      <c r="D2551">
        <v>6426000</v>
      </c>
      <c r="E2551" t="s">
        <v>188</v>
      </c>
      <c r="F2551">
        <v>5210010105</v>
      </c>
      <c r="G2551" s="13">
        <v>556400</v>
      </c>
      <c r="I2551" t="s">
        <v>179</v>
      </c>
      <c r="J2551" t="s">
        <v>907</v>
      </c>
      <c r="K2551" t="s">
        <v>180</v>
      </c>
      <c r="L2551">
        <v>200028929</v>
      </c>
    </row>
    <row r="2552" spans="3:12">
      <c r="C2552">
        <v>2100300025</v>
      </c>
      <c r="D2552">
        <v>6426000</v>
      </c>
      <c r="E2552" t="s">
        <v>188</v>
      </c>
      <c r="F2552">
        <v>5210010105</v>
      </c>
      <c r="G2552" s="13">
        <v>1500</v>
      </c>
      <c r="I2552" t="s">
        <v>179</v>
      </c>
      <c r="J2552" t="s">
        <v>908</v>
      </c>
      <c r="K2552" t="s">
        <v>180</v>
      </c>
      <c r="L2552">
        <v>200032145</v>
      </c>
    </row>
    <row r="2553" spans="3:12">
      <c r="C2553">
        <v>2100300025</v>
      </c>
      <c r="D2553">
        <v>6426000</v>
      </c>
      <c r="E2553" t="s">
        <v>188</v>
      </c>
      <c r="F2553">
        <v>5210010105</v>
      </c>
      <c r="G2553" s="13">
        <v>22397.24</v>
      </c>
      <c r="I2553" t="s">
        <v>179</v>
      </c>
      <c r="J2553" t="s">
        <v>908</v>
      </c>
      <c r="K2553" t="s">
        <v>180</v>
      </c>
      <c r="L2553">
        <v>200032129</v>
      </c>
    </row>
    <row r="2554" spans="3:12">
      <c r="C2554">
        <v>2100300025</v>
      </c>
      <c r="D2554">
        <v>6426000</v>
      </c>
      <c r="E2554" t="s">
        <v>188</v>
      </c>
      <c r="F2554">
        <v>5210010105</v>
      </c>
      <c r="G2554" s="13">
        <v>27869.22</v>
      </c>
      <c r="I2554" t="s">
        <v>179</v>
      </c>
      <c r="J2554" t="s">
        <v>908</v>
      </c>
      <c r="K2554" t="s">
        <v>180</v>
      </c>
      <c r="L2554">
        <v>200031579</v>
      </c>
    </row>
    <row r="2555" spans="3:12">
      <c r="C2555">
        <v>2100300025</v>
      </c>
      <c r="D2555">
        <v>6426000</v>
      </c>
      <c r="E2555" t="s">
        <v>188</v>
      </c>
      <c r="F2555">
        <v>5210010105</v>
      </c>
      <c r="G2555" s="13">
        <v>6195.3</v>
      </c>
      <c r="I2555" t="s">
        <v>179</v>
      </c>
      <c r="J2555" t="s">
        <v>908</v>
      </c>
      <c r="K2555" t="s">
        <v>180</v>
      </c>
      <c r="L2555">
        <v>200031580</v>
      </c>
    </row>
    <row r="2556" spans="3:12">
      <c r="C2556">
        <v>2100300025</v>
      </c>
      <c r="D2556">
        <v>6426000</v>
      </c>
      <c r="E2556" t="s">
        <v>188</v>
      </c>
      <c r="F2556">
        <v>5210010105</v>
      </c>
      <c r="G2556">
        <v>112</v>
      </c>
      <c r="I2556" t="s">
        <v>179</v>
      </c>
      <c r="J2556" t="s">
        <v>908</v>
      </c>
      <c r="K2556" t="s">
        <v>180</v>
      </c>
      <c r="L2556">
        <v>200031581</v>
      </c>
    </row>
    <row r="2557" spans="3:12">
      <c r="C2557">
        <v>2100300025</v>
      </c>
      <c r="D2557">
        <v>6426000</v>
      </c>
      <c r="E2557" t="s">
        <v>188</v>
      </c>
      <c r="F2557">
        <v>5210010105</v>
      </c>
      <c r="G2557" s="13">
        <v>1260</v>
      </c>
      <c r="I2557" t="s">
        <v>179</v>
      </c>
      <c r="J2557" t="s">
        <v>908</v>
      </c>
      <c r="K2557" t="s">
        <v>180</v>
      </c>
      <c r="L2557">
        <v>200031582</v>
      </c>
    </row>
    <row r="2558" spans="3:12">
      <c r="C2558">
        <v>2100300025</v>
      </c>
      <c r="D2558">
        <v>6426000</v>
      </c>
      <c r="E2558" t="s">
        <v>188</v>
      </c>
      <c r="F2558">
        <v>5210010105</v>
      </c>
      <c r="G2558">
        <v>600</v>
      </c>
      <c r="I2558" t="s">
        <v>179</v>
      </c>
      <c r="J2558" t="s">
        <v>908</v>
      </c>
      <c r="K2558" t="s">
        <v>180</v>
      </c>
      <c r="L2558">
        <v>200031583</v>
      </c>
    </row>
    <row r="2559" spans="3:12">
      <c r="C2559">
        <v>2100300025</v>
      </c>
      <c r="D2559">
        <v>6426000</v>
      </c>
      <c r="E2559" t="s">
        <v>188</v>
      </c>
      <c r="F2559">
        <v>5210010105</v>
      </c>
      <c r="G2559" s="13">
        <v>10657.2</v>
      </c>
      <c r="I2559" t="s">
        <v>179</v>
      </c>
      <c r="J2559" t="s">
        <v>908</v>
      </c>
      <c r="K2559" t="s">
        <v>180</v>
      </c>
      <c r="L2559">
        <v>200031584</v>
      </c>
    </row>
    <row r="2560" spans="3:12">
      <c r="C2560">
        <v>2100300025</v>
      </c>
      <c r="D2560">
        <v>6426000</v>
      </c>
      <c r="E2560" t="s">
        <v>188</v>
      </c>
      <c r="F2560">
        <v>5210010105</v>
      </c>
      <c r="G2560">
        <v>481.5</v>
      </c>
      <c r="I2560" t="s">
        <v>179</v>
      </c>
      <c r="J2560" t="s">
        <v>908</v>
      </c>
      <c r="K2560" t="s">
        <v>180</v>
      </c>
      <c r="L2560">
        <v>200031585</v>
      </c>
    </row>
    <row r="2561" spans="3:12">
      <c r="C2561">
        <v>2100300025</v>
      </c>
      <c r="D2561">
        <v>6426000</v>
      </c>
      <c r="E2561" t="s">
        <v>188</v>
      </c>
      <c r="F2561">
        <v>5210010105</v>
      </c>
      <c r="G2561">
        <v>301.74</v>
      </c>
      <c r="I2561" t="s">
        <v>179</v>
      </c>
      <c r="J2561" t="s">
        <v>908</v>
      </c>
      <c r="K2561" t="s">
        <v>180</v>
      </c>
      <c r="L2561">
        <v>200031586</v>
      </c>
    </row>
    <row r="2562" spans="3:12">
      <c r="C2562">
        <v>2100300025</v>
      </c>
      <c r="D2562">
        <v>6426000</v>
      </c>
      <c r="E2562" t="s">
        <v>188</v>
      </c>
      <c r="F2562">
        <v>5210010105</v>
      </c>
      <c r="G2562">
        <v>642</v>
      </c>
      <c r="I2562" t="s">
        <v>179</v>
      </c>
      <c r="J2562" t="s">
        <v>908</v>
      </c>
      <c r="K2562" t="s">
        <v>180</v>
      </c>
      <c r="L2562">
        <v>200031587</v>
      </c>
    </row>
    <row r="2563" spans="3:12">
      <c r="C2563">
        <v>2100300025</v>
      </c>
      <c r="D2563">
        <v>6426000</v>
      </c>
      <c r="E2563" t="s">
        <v>188</v>
      </c>
      <c r="F2563">
        <v>5210010105</v>
      </c>
      <c r="G2563">
        <v>465.45</v>
      </c>
      <c r="I2563" t="s">
        <v>179</v>
      </c>
      <c r="J2563" t="s">
        <v>908</v>
      </c>
      <c r="K2563" t="s">
        <v>180</v>
      </c>
      <c r="L2563">
        <v>200031588</v>
      </c>
    </row>
    <row r="2564" spans="3:12">
      <c r="C2564">
        <v>2100300025</v>
      </c>
      <c r="D2564">
        <v>6426000</v>
      </c>
      <c r="E2564" t="s">
        <v>188</v>
      </c>
      <c r="F2564">
        <v>5210010105</v>
      </c>
      <c r="G2564" s="13">
        <v>15793.2</v>
      </c>
      <c r="I2564" t="s">
        <v>179</v>
      </c>
      <c r="J2564" t="s">
        <v>908</v>
      </c>
      <c r="K2564" t="s">
        <v>180</v>
      </c>
      <c r="L2564">
        <v>200031589</v>
      </c>
    </row>
    <row r="2565" spans="3:12">
      <c r="C2565">
        <v>2100300025</v>
      </c>
      <c r="D2565">
        <v>6426000</v>
      </c>
      <c r="E2565" t="s">
        <v>188</v>
      </c>
      <c r="F2565">
        <v>5210010105</v>
      </c>
      <c r="G2565" s="13">
        <v>26750</v>
      </c>
      <c r="I2565" t="s">
        <v>179</v>
      </c>
      <c r="J2565" t="s">
        <v>908</v>
      </c>
      <c r="K2565" t="s">
        <v>180</v>
      </c>
      <c r="L2565">
        <v>200031591</v>
      </c>
    </row>
    <row r="2566" spans="3:12">
      <c r="C2566">
        <v>2100300025</v>
      </c>
      <c r="D2566">
        <v>6426000</v>
      </c>
      <c r="E2566" t="s">
        <v>188</v>
      </c>
      <c r="F2566">
        <v>5210010105</v>
      </c>
      <c r="G2566" s="13">
        <v>9100</v>
      </c>
      <c r="I2566" t="s">
        <v>179</v>
      </c>
      <c r="J2566" t="s">
        <v>908</v>
      </c>
      <c r="K2566" t="s">
        <v>180</v>
      </c>
      <c r="L2566">
        <v>200031732</v>
      </c>
    </row>
    <row r="2567" spans="3:12">
      <c r="C2567">
        <v>2100300025</v>
      </c>
      <c r="D2567">
        <v>6426000</v>
      </c>
      <c r="E2567" t="s">
        <v>188</v>
      </c>
      <c r="F2567">
        <v>5210010105</v>
      </c>
      <c r="G2567">
        <v>207</v>
      </c>
      <c r="I2567" t="s">
        <v>179</v>
      </c>
      <c r="J2567" t="s">
        <v>908</v>
      </c>
      <c r="K2567" t="s">
        <v>180</v>
      </c>
      <c r="L2567">
        <v>200031733</v>
      </c>
    </row>
    <row r="2568" spans="3:12">
      <c r="C2568">
        <v>2100300025</v>
      </c>
      <c r="D2568">
        <v>6426000</v>
      </c>
      <c r="E2568" t="s">
        <v>188</v>
      </c>
      <c r="F2568">
        <v>5210010105</v>
      </c>
      <c r="G2568" s="13">
        <v>6200</v>
      </c>
      <c r="I2568" t="s">
        <v>179</v>
      </c>
      <c r="J2568" t="s">
        <v>908</v>
      </c>
      <c r="K2568" t="s">
        <v>180</v>
      </c>
      <c r="L2568">
        <v>200031735</v>
      </c>
    </row>
    <row r="2569" spans="3:12">
      <c r="C2569">
        <v>2100300025</v>
      </c>
      <c r="D2569">
        <v>6426000</v>
      </c>
      <c r="E2569" t="s">
        <v>188</v>
      </c>
      <c r="F2569">
        <v>5210010105</v>
      </c>
      <c r="G2569" s="13">
        <v>14400</v>
      </c>
      <c r="I2569" t="s">
        <v>179</v>
      </c>
      <c r="J2569" t="s">
        <v>908</v>
      </c>
      <c r="K2569" t="s">
        <v>180</v>
      </c>
      <c r="L2569">
        <v>200031242</v>
      </c>
    </row>
    <row r="2570" spans="3:12">
      <c r="C2570">
        <v>2100300025</v>
      </c>
      <c r="D2570">
        <v>6426000</v>
      </c>
      <c r="E2570" t="s">
        <v>188</v>
      </c>
      <c r="F2570">
        <v>5210010105</v>
      </c>
      <c r="G2570" s="13">
        <v>2250</v>
      </c>
      <c r="I2570" t="s">
        <v>179</v>
      </c>
      <c r="J2570" t="s">
        <v>908</v>
      </c>
      <c r="K2570" t="s">
        <v>180</v>
      </c>
      <c r="L2570">
        <v>200031736</v>
      </c>
    </row>
    <row r="2571" spans="3:12">
      <c r="C2571">
        <v>2100300025</v>
      </c>
      <c r="D2571">
        <v>6426000</v>
      </c>
      <c r="E2571" t="s">
        <v>188</v>
      </c>
      <c r="F2571">
        <v>5210010105</v>
      </c>
      <c r="G2571">
        <v>158.91</v>
      </c>
      <c r="I2571" t="s">
        <v>179</v>
      </c>
      <c r="J2571" t="s">
        <v>908</v>
      </c>
      <c r="K2571" t="s">
        <v>180</v>
      </c>
      <c r="L2571">
        <v>200031737</v>
      </c>
    </row>
    <row r="2572" spans="3:12">
      <c r="C2572">
        <v>2100300025</v>
      </c>
      <c r="D2572">
        <v>6426000</v>
      </c>
      <c r="E2572" t="s">
        <v>188</v>
      </c>
      <c r="F2572">
        <v>5210010105</v>
      </c>
      <c r="G2572" s="13">
        <v>1000</v>
      </c>
      <c r="I2572" t="s">
        <v>179</v>
      </c>
      <c r="J2572" t="s">
        <v>908</v>
      </c>
      <c r="K2572" t="s">
        <v>180</v>
      </c>
      <c r="L2572">
        <v>200031738</v>
      </c>
    </row>
    <row r="2573" spans="3:12">
      <c r="C2573">
        <v>2100300025</v>
      </c>
      <c r="D2573">
        <v>6426000</v>
      </c>
      <c r="E2573" t="s">
        <v>188</v>
      </c>
      <c r="F2573">
        <v>5210010105</v>
      </c>
      <c r="G2573" s="13">
        <v>8437.5</v>
      </c>
      <c r="I2573" t="s">
        <v>179</v>
      </c>
      <c r="J2573" t="s">
        <v>908</v>
      </c>
      <c r="K2573" t="s">
        <v>180</v>
      </c>
      <c r="L2573">
        <v>200031739</v>
      </c>
    </row>
    <row r="2574" spans="3:12">
      <c r="C2574">
        <v>2100300025</v>
      </c>
      <c r="D2574">
        <v>6426000</v>
      </c>
      <c r="E2574" t="s">
        <v>188</v>
      </c>
      <c r="F2574">
        <v>5210010105</v>
      </c>
      <c r="G2574" s="13">
        <v>10000</v>
      </c>
      <c r="I2574" t="s">
        <v>179</v>
      </c>
      <c r="J2574" t="s">
        <v>908</v>
      </c>
      <c r="K2574" t="s">
        <v>180</v>
      </c>
      <c r="L2574">
        <v>200031740</v>
      </c>
    </row>
    <row r="2575" spans="3:12">
      <c r="C2575">
        <v>2100300025</v>
      </c>
      <c r="D2575">
        <v>6426000</v>
      </c>
      <c r="E2575" t="s">
        <v>188</v>
      </c>
      <c r="F2575">
        <v>5210010105</v>
      </c>
      <c r="G2575" s="13">
        <v>6848</v>
      </c>
      <c r="I2575" t="s">
        <v>179</v>
      </c>
      <c r="J2575" t="s">
        <v>908</v>
      </c>
      <c r="K2575" t="s">
        <v>180</v>
      </c>
      <c r="L2575">
        <v>200031592</v>
      </c>
    </row>
    <row r="2576" spans="3:12">
      <c r="C2576">
        <v>2100300025</v>
      </c>
      <c r="D2576">
        <v>6426000</v>
      </c>
      <c r="E2576" t="s">
        <v>188</v>
      </c>
      <c r="F2576">
        <v>5210010105</v>
      </c>
      <c r="G2576" s="13">
        <v>3900</v>
      </c>
      <c r="I2576" t="s">
        <v>179</v>
      </c>
      <c r="J2576" t="s">
        <v>908</v>
      </c>
      <c r="K2576" t="s">
        <v>180</v>
      </c>
      <c r="L2576">
        <v>200031593</v>
      </c>
    </row>
    <row r="2577" spans="3:12">
      <c r="C2577">
        <v>2100300025</v>
      </c>
      <c r="D2577">
        <v>6426000</v>
      </c>
      <c r="E2577" t="s">
        <v>188</v>
      </c>
      <c r="F2577">
        <v>5210010105</v>
      </c>
      <c r="G2577" s="13">
        <v>1800</v>
      </c>
      <c r="I2577" t="s">
        <v>179</v>
      </c>
      <c r="J2577" t="s">
        <v>908</v>
      </c>
      <c r="K2577" t="s">
        <v>180</v>
      </c>
      <c r="L2577">
        <v>200031594</v>
      </c>
    </row>
    <row r="2578" spans="3:12">
      <c r="C2578">
        <v>2100300025</v>
      </c>
      <c r="D2578">
        <v>6426000</v>
      </c>
      <c r="E2578" t="s">
        <v>188</v>
      </c>
      <c r="F2578">
        <v>5210010105</v>
      </c>
      <c r="G2578" s="13">
        <v>1080</v>
      </c>
      <c r="I2578" t="s">
        <v>179</v>
      </c>
      <c r="J2578" t="s">
        <v>908</v>
      </c>
      <c r="K2578" t="s">
        <v>180</v>
      </c>
      <c r="L2578">
        <v>200031741</v>
      </c>
    </row>
    <row r="2579" spans="3:12">
      <c r="C2579">
        <v>2100300025</v>
      </c>
      <c r="D2579">
        <v>6426000</v>
      </c>
      <c r="E2579" t="s">
        <v>188</v>
      </c>
      <c r="F2579">
        <v>5210010105</v>
      </c>
      <c r="G2579" s="13">
        <v>30800</v>
      </c>
      <c r="I2579" t="s">
        <v>179</v>
      </c>
      <c r="J2579" t="s">
        <v>908</v>
      </c>
      <c r="K2579" t="s">
        <v>180</v>
      </c>
      <c r="L2579">
        <v>200031742</v>
      </c>
    </row>
    <row r="2580" spans="3:12">
      <c r="C2580">
        <v>2100300025</v>
      </c>
      <c r="D2580">
        <v>6426000</v>
      </c>
      <c r="E2580" t="s">
        <v>188</v>
      </c>
      <c r="F2580">
        <v>5210010105</v>
      </c>
      <c r="G2580" s="13">
        <v>8000</v>
      </c>
      <c r="I2580" t="s">
        <v>179</v>
      </c>
      <c r="J2580" t="s">
        <v>908</v>
      </c>
      <c r="K2580" t="s">
        <v>180</v>
      </c>
      <c r="L2580">
        <v>200031743</v>
      </c>
    </row>
    <row r="2581" spans="3:12">
      <c r="C2581">
        <v>2100300025</v>
      </c>
      <c r="D2581">
        <v>6426000</v>
      </c>
      <c r="E2581" t="s">
        <v>188</v>
      </c>
      <c r="F2581">
        <v>5210010105</v>
      </c>
      <c r="G2581">
        <v>840</v>
      </c>
      <c r="I2581" t="s">
        <v>179</v>
      </c>
      <c r="J2581" t="s">
        <v>908</v>
      </c>
      <c r="K2581" t="s">
        <v>180</v>
      </c>
      <c r="L2581">
        <v>200031744</v>
      </c>
    </row>
    <row r="2582" spans="3:12">
      <c r="C2582">
        <v>2100300025</v>
      </c>
      <c r="D2582">
        <v>6426000</v>
      </c>
      <c r="E2582" t="s">
        <v>188</v>
      </c>
      <c r="F2582">
        <v>5210010105</v>
      </c>
      <c r="G2582" s="13">
        <v>18297</v>
      </c>
      <c r="I2582" t="s">
        <v>179</v>
      </c>
      <c r="J2582" t="s">
        <v>908</v>
      </c>
      <c r="K2582" t="s">
        <v>180</v>
      </c>
      <c r="L2582">
        <v>200031595</v>
      </c>
    </row>
    <row r="2583" spans="3:12">
      <c r="C2583">
        <v>2100300025</v>
      </c>
      <c r="D2583">
        <v>6426000</v>
      </c>
      <c r="E2583" t="s">
        <v>188</v>
      </c>
      <c r="F2583">
        <v>5210010105</v>
      </c>
      <c r="G2583" s="13">
        <v>3787.8</v>
      </c>
      <c r="I2583" t="s">
        <v>179</v>
      </c>
      <c r="J2583" t="s">
        <v>908</v>
      </c>
      <c r="K2583" t="s">
        <v>180</v>
      </c>
      <c r="L2583">
        <v>200001066</v>
      </c>
    </row>
    <row r="2584" spans="3:12">
      <c r="C2584">
        <v>2100300025</v>
      </c>
      <c r="D2584">
        <v>6426000</v>
      </c>
      <c r="E2584" t="s">
        <v>188</v>
      </c>
      <c r="F2584">
        <v>5210010105</v>
      </c>
      <c r="G2584" s="13">
        <v>2503.8000000000002</v>
      </c>
      <c r="I2584" t="s">
        <v>179</v>
      </c>
      <c r="J2584" t="s">
        <v>908</v>
      </c>
      <c r="K2584" t="s">
        <v>180</v>
      </c>
      <c r="L2584">
        <v>200001067</v>
      </c>
    </row>
    <row r="2585" spans="3:12">
      <c r="C2585">
        <v>2100300025</v>
      </c>
      <c r="D2585">
        <v>6426000</v>
      </c>
      <c r="E2585" t="s">
        <v>188</v>
      </c>
      <c r="F2585">
        <v>5210010105</v>
      </c>
      <c r="G2585" s="13">
        <v>6099</v>
      </c>
      <c r="I2585" t="s">
        <v>179</v>
      </c>
      <c r="J2585" t="s">
        <v>908</v>
      </c>
      <c r="K2585" t="s">
        <v>180</v>
      </c>
      <c r="L2585">
        <v>200001068</v>
      </c>
    </row>
    <row r="2586" spans="3:12">
      <c r="C2586">
        <v>2100300025</v>
      </c>
      <c r="D2586">
        <v>6426000</v>
      </c>
      <c r="E2586" t="s">
        <v>188</v>
      </c>
      <c r="F2586">
        <v>5210010105</v>
      </c>
      <c r="G2586" s="13">
        <v>28536.9</v>
      </c>
      <c r="I2586" t="s">
        <v>179</v>
      </c>
      <c r="J2586" t="s">
        <v>908</v>
      </c>
      <c r="K2586" t="s">
        <v>180</v>
      </c>
      <c r="L2586">
        <v>200001069</v>
      </c>
    </row>
    <row r="2587" spans="3:12">
      <c r="C2587">
        <v>2100300025</v>
      </c>
      <c r="D2587">
        <v>6426000</v>
      </c>
      <c r="E2587" t="s">
        <v>188</v>
      </c>
      <c r="F2587">
        <v>5210010105</v>
      </c>
      <c r="G2587" s="13">
        <v>6933.6</v>
      </c>
      <c r="I2587" t="s">
        <v>179</v>
      </c>
      <c r="J2587" t="s">
        <v>908</v>
      </c>
      <c r="K2587" t="s">
        <v>180</v>
      </c>
      <c r="L2587">
        <v>200001070</v>
      </c>
    </row>
    <row r="2588" spans="3:12">
      <c r="C2588">
        <v>2100300025</v>
      </c>
      <c r="D2588">
        <v>6426000</v>
      </c>
      <c r="E2588" t="s">
        <v>188</v>
      </c>
      <c r="F2588">
        <v>5210010105</v>
      </c>
      <c r="G2588" s="13">
        <v>3910.85</v>
      </c>
      <c r="I2588" t="s">
        <v>179</v>
      </c>
      <c r="J2588" t="s">
        <v>908</v>
      </c>
      <c r="K2588" t="s">
        <v>180</v>
      </c>
      <c r="L2588">
        <v>200001071</v>
      </c>
    </row>
    <row r="2589" spans="3:12">
      <c r="C2589">
        <v>2100300025</v>
      </c>
      <c r="D2589">
        <v>6426000</v>
      </c>
      <c r="E2589" t="s">
        <v>188</v>
      </c>
      <c r="F2589">
        <v>5210010105</v>
      </c>
      <c r="G2589" s="13">
        <v>13375</v>
      </c>
      <c r="I2589" t="s">
        <v>179</v>
      </c>
      <c r="J2589" t="s">
        <v>911</v>
      </c>
      <c r="K2589" t="s">
        <v>180</v>
      </c>
      <c r="L2589">
        <v>200026691</v>
      </c>
    </row>
    <row r="2590" spans="3:12">
      <c r="C2590">
        <v>2100300025</v>
      </c>
      <c r="D2590">
        <v>6426000</v>
      </c>
      <c r="E2590" t="s">
        <v>188</v>
      </c>
      <c r="F2590">
        <v>5210010105</v>
      </c>
      <c r="G2590" s="13">
        <v>8540</v>
      </c>
      <c r="I2590" t="s">
        <v>179</v>
      </c>
      <c r="J2590" t="s">
        <v>911</v>
      </c>
      <c r="K2590" t="s">
        <v>180</v>
      </c>
      <c r="L2590">
        <v>200026581</v>
      </c>
    </row>
    <row r="2591" spans="3:12">
      <c r="C2591">
        <v>2100300025</v>
      </c>
      <c r="D2591">
        <v>6426000</v>
      </c>
      <c r="E2591" t="s">
        <v>188</v>
      </c>
      <c r="F2591">
        <v>5210010105</v>
      </c>
      <c r="G2591" s="13">
        <v>70200</v>
      </c>
      <c r="I2591" t="s">
        <v>179</v>
      </c>
      <c r="J2591" t="s">
        <v>911</v>
      </c>
      <c r="K2591" t="s">
        <v>180</v>
      </c>
      <c r="L2591">
        <v>200026582</v>
      </c>
    </row>
    <row r="2592" spans="3:12">
      <c r="C2592">
        <v>2100300025</v>
      </c>
      <c r="D2592">
        <v>6426000</v>
      </c>
      <c r="E2592" t="s">
        <v>188</v>
      </c>
      <c r="F2592">
        <v>5210010105</v>
      </c>
      <c r="G2592" s="13">
        <v>21270</v>
      </c>
      <c r="I2592" t="s">
        <v>179</v>
      </c>
      <c r="J2592" t="s">
        <v>911</v>
      </c>
      <c r="K2592" t="s">
        <v>180</v>
      </c>
      <c r="L2592">
        <v>200026387</v>
      </c>
    </row>
    <row r="2593" spans="3:12">
      <c r="C2593">
        <v>2100300025</v>
      </c>
      <c r="D2593">
        <v>6426000</v>
      </c>
      <c r="E2593" t="s">
        <v>188</v>
      </c>
      <c r="F2593">
        <v>5210010105</v>
      </c>
      <c r="G2593" s="13">
        <v>42000</v>
      </c>
      <c r="I2593" t="s">
        <v>179</v>
      </c>
      <c r="J2593" t="s">
        <v>911</v>
      </c>
      <c r="K2593" t="s">
        <v>180</v>
      </c>
      <c r="L2593">
        <v>200026419</v>
      </c>
    </row>
    <row r="2594" spans="3:12">
      <c r="C2594">
        <v>2100300025</v>
      </c>
      <c r="D2594">
        <v>6426000</v>
      </c>
      <c r="E2594" t="s">
        <v>188</v>
      </c>
      <c r="F2594">
        <v>5210010105</v>
      </c>
      <c r="G2594" s="13">
        <v>7000</v>
      </c>
      <c r="I2594" t="s">
        <v>179</v>
      </c>
      <c r="J2594" t="s">
        <v>911</v>
      </c>
      <c r="K2594" t="s">
        <v>180</v>
      </c>
      <c r="L2594">
        <v>200024783</v>
      </c>
    </row>
    <row r="2595" spans="3:12">
      <c r="C2595">
        <v>2100300025</v>
      </c>
      <c r="D2595">
        <v>6426000</v>
      </c>
      <c r="E2595" t="s">
        <v>188</v>
      </c>
      <c r="F2595">
        <v>5210010105</v>
      </c>
      <c r="G2595" s="13">
        <v>77339.600000000006</v>
      </c>
      <c r="I2595" t="s">
        <v>179</v>
      </c>
      <c r="J2595" t="s">
        <v>911</v>
      </c>
      <c r="K2595" t="s">
        <v>180</v>
      </c>
      <c r="L2595">
        <v>200026420</v>
      </c>
    </row>
    <row r="2596" spans="3:12">
      <c r="C2596">
        <v>2100300025</v>
      </c>
      <c r="D2596">
        <v>6426000</v>
      </c>
      <c r="E2596" t="s">
        <v>188</v>
      </c>
      <c r="F2596">
        <v>5210010105</v>
      </c>
      <c r="G2596" s="13">
        <v>30000</v>
      </c>
      <c r="I2596" t="s">
        <v>179</v>
      </c>
      <c r="J2596" t="s">
        <v>910</v>
      </c>
      <c r="K2596" t="s">
        <v>180</v>
      </c>
      <c r="L2596">
        <v>200032102</v>
      </c>
    </row>
    <row r="2597" spans="3:12">
      <c r="C2597">
        <v>2100300025</v>
      </c>
      <c r="D2597">
        <v>6426000</v>
      </c>
      <c r="E2597" t="s">
        <v>188</v>
      </c>
      <c r="F2597">
        <v>5210010105</v>
      </c>
      <c r="G2597" s="13">
        <v>16270</v>
      </c>
      <c r="I2597" t="s">
        <v>179</v>
      </c>
      <c r="J2597" t="s">
        <v>910</v>
      </c>
      <c r="K2597" t="s">
        <v>180</v>
      </c>
      <c r="L2597">
        <v>200032103</v>
      </c>
    </row>
    <row r="2598" spans="3:12">
      <c r="C2598">
        <v>2100300025</v>
      </c>
      <c r="D2598">
        <v>6426000</v>
      </c>
      <c r="E2598" t="s">
        <v>188</v>
      </c>
      <c r="F2598">
        <v>5210010105</v>
      </c>
      <c r="G2598">
        <v>640</v>
      </c>
      <c r="I2598" t="s">
        <v>179</v>
      </c>
      <c r="J2598" t="s">
        <v>822</v>
      </c>
      <c r="K2598" t="s">
        <v>180</v>
      </c>
      <c r="L2598">
        <v>200027769</v>
      </c>
    </row>
    <row r="2599" spans="3:12">
      <c r="C2599">
        <v>2100300025</v>
      </c>
      <c r="D2599">
        <v>6426000</v>
      </c>
      <c r="E2599" t="s">
        <v>188</v>
      </c>
      <c r="F2599">
        <v>5210010105</v>
      </c>
      <c r="G2599" s="13">
        <v>1060</v>
      </c>
      <c r="I2599" t="s">
        <v>179</v>
      </c>
      <c r="J2599" t="s">
        <v>822</v>
      </c>
      <c r="K2599" t="s">
        <v>180</v>
      </c>
      <c r="L2599">
        <v>200027770</v>
      </c>
    </row>
    <row r="2600" spans="3:12">
      <c r="C2600">
        <v>2100300025</v>
      </c>
      <c r="D2600">
        <v>6426000</v>
      </c>
      <c r="E2600" t="s">
        <v>188</v>
      </c>
      <c r="F2600">
        <v>5210010105</v>
      </c>
      <c r="G2600">
        <v>440</v>
      </c>
      <c r="I2600" t="s">
        <v>179</v>
      </c>
      <c r="J2600" t="s">
        <v>822</v>
      </c>
      <c r="K2600" t="s">
        <v>180</v>
      </c>
      <c r="L2600">
        <v>200027771</v>
      </c>
    </row>
    <row r="2601" spans="3:12">
      <c r="C2601">
        <v>2100300025</v>
      </c>
      <c r="D2601">
        <v>6426000</v>
      </c>
      <c r="E2601" t="s">
        <v>188</v>
      </c>
      <c r="F2601">
        <v>5210010105</v>
      </c>
      <c r="G2601" s="13">
        <v>3500</v>
      </c>
      <c r="I2601" t="s">
        <v>179</v>
      </c>
      <c r="J2601" t="s">
        <v>822</v>
      </c>
      <c r="K2601" t="s">
        <v>180</v>
      </c>
      <c r="L2601">
        <v>200027772</v>
      </c>
    </row>
    <row r="2602" spans="3:12">
      <c r="C2602">
        <v>2100300025</v>
      </c>
      <c r="D2602">
        <v>6426000</v>
      </c>
      <c r="E2602" t="s">
        <v>188</v>
      </c>
      <c r="F2602">
        <v>5210010105</v>
      </c>
      <c r="G2602">
        <v>512.5</v>
      </c>
      <c r="I2602" t="s">
        <v>179</v>
      </c>
      <c r="J2602" t="s">
        <v>822</v>
      </c>
      <c r="K2602" t="s">
        <v>180</v>
      </c>
      <c r="L2602">
        <v>200027773</v>
      </c>
    </row>
    <row r="2603" spans="3:12">
      <c r="C2603">
        <v>2100300025</v>
      </c>
      <c r="D2603">
        <v>6426000</v>
      </c>
      <c r="E2603" t="s">
        <v>188</v>
      </c>
      <c r="F2603">
        <v>5210010105</v>
      </c>
      <c r="G2603">
        <v>77.34</v>
      </c>
      <c r="I2603" t="s">
        <v>179</v>
      </c>
      <c r="J2603" t="s">
        <v>822</v>
      </c>
      <c r="K2603" t="s">
        <v>180</v>
      </c>
      <c r="L2603">
        <v>200027774</v>
      </c>
    </row>
    <row r="2604" spans="3:12">
      <c r="C2604">
        <v>2100300025</v>
      </c>
      <c r="D2604">
        <v>6426000</v>
      </c>
      <c r="E2604" t="s">
        <v>188</v>
      </c>
      <c r="F2604">
        <v>5210010105</v>
      </c>
      <c r="G2604">
        <v>64.2</v>
      </c>
      <c r="I2604" t="s">
        <v>179</v>
      </c>
      <c r="J2604" t="s">
        <v>822</v>
      </c>
      <c r="K2604" t="s">
        <v>180</v>
      </c>
      <c r="L2604">
        <v>200027775</v>
      </c>
    </row>
    <row r="2605" spans="3:12">
      <c r="C2605">
        <v>2100300025</v>
      </c>
      <c r="D2605">
        <v>6426000</v>
      </c>
      <c r="E2605" t="s">
        <v>188</v>
      </c>
      <c r="F2605">
        <v>5210010105</v>
      </c>
      <c r="G2605" s="13">
        <v>13500</v>
      </c>
      <c r="I2605" t="s">
        <v>179</v>
      </c>
      <c r="J2605" t="s">
        <v>822</v>
      </c>
      <c r="K2605" t="s">
        <v>180</v>
      </c>
      <c r="L2605">
        <v>200027776</v>
      </c>
    </row>
    <row r="2606" spans="3:12">
      <c r="C2606">
        <v>2100300025</v>
      </c>
      <c r="D2606">
        <v>6426000</v>
      </c>
      <c r="E2606" t="s">
        <v>188</v>
      </c>
      <c r="F2606">
        <v>5210010105</v>
      </c>
      <c r="G2606" s="13">
        <v>67998.5</v>
      </c>
      <c r="I2606" t="s">
        <v>179</v>
      </c>
      <c r="J2606" t="s">
        <v>822</v>
      </c>
      <c r="K2606" t="s">
        <v>180</v>
      </c>
      <c r="L2606">
        <v>200028315</v>
      </c>
    </row>
    <row r="2607" spans="3:12">
      <c r="C2607">
        <v>2100300025</v>
      </c>
      <c r="D2607">
        <v>6426000</v>
      </c>
      <c r="E2607" t="s">
        <v>188</v>
      </c>
      <c r="F2607">
        <v>5210010105</v>
      </c>
      <c r="G2607" s="13">
        <v>17655</v>
      </c>
      <c r="I2607" t="s">
        <v>179</v>
      </c>
      <c r="J2607" t="s">
        <v>822</v>
      </c>
      <c r="K2607" t="s">
        <v>180</v>
      </c>
      <c r="L2607">
        <v>200027929</v>
      </c>
    </row>
    <row r="2608" spans="3:12">
      <c r="C2608">
        <v>2100300025</v>
      </c>
      <c r="D2608">
        <v>6426000</v>
      </c>
      <c r="E2608" t="s">
        <v>188</v>
      </c>
      <c r="F2608">
        <v>5210010105</v>
      </c>
      <c r="G2608" s="13">
        <v>9202</v>
      </c>
      <c r="I2608" t="s">
        <v>179</v>
      </c>
      <c r="J2608" t="s">
        <v>822</v>
      </c>
      <c r="K2608" t="s">
        <v>180</v>
      </c>
      <c r="L2608">
        <v>200027930</v>
      </c>
    </row>
    <row r="2609" spans="3:12">
      <c r="C2609">
        <v>2100300025</v>
      </c>
      <c r="D2609">
        <v>6426000</v>
      </c>
      <c r="E2609" t="s">
        <v>188</v>
      </c>
      <c r="F2609">
        <v>5210010105</v>
      </c>
      <c r="G2609" s="13">
        <v>7800</v>
      </c>
      <c r="I2609" t="s">
        <v>179</v>
      </c>
      <c r="J2609" t="s">
        <v>822</v>
      </c>
      <c r="K2609" t="s">
        <v>180</v>
      </c>
      <c r="L2609">
        <v>200027777</v>
      </c>
    </row>
    <row r="2610" spans="3:12">
      <c r="C2610">
        <v>2100300025</v>
      </c>
      <c r="D2610">
        <v>6426000</v>
      </c>
      <c r="E2610" t="s">
        <v>188</v>
      </c>
      <c r="F2610">
        <v>5210010105</v>
      </c>
      <c r="G2610" s="13">
        <v>13000</v>
      </c>
      <c r="I2610" t="s">
        <v>179</v>
      </c>
      <c r="J2610" t="s">
        <v>822</v>
      </c>
      <c r="K2610" t="s">
        <v>180</v>
      </c>
      <c r="L2610">
        <v>200028316</v>
      </c>
    </row>
    <row r="2611" spans="3:12">
      <c r="C2611">
        <v>2100300025</v>
      </c>
      <c r="D2611">
        <v>6426000</v>
      </c>
      <c r="E2611" t="s">
        <v>188</v>
      </c>
      <c r="F2611">
        <v>5210010105</v>
      </c>
      <c r="G2611" s="13">
        <v>12600</v>
      </c>
      <c r="I2611" t="s">
        <v>179</v>
      </c>
      <c r="J2611" t="s">
        <v>822</v>
      </c>
      <c r="K2611" t="s">
        <v>180</v>
      </c>
      <c r="L2611">
        <v>200028317</v>
      </c>
    </row>
    <row r="2612" spans="3:12">
      <c r="C2612">
        <v>2100300025</v>
      </c>
      <c r="D2612">
        <v>6426000</v>
      </c>
      <c r="E2612" t="s">
        <v>188</v>
      </c>
      <c r="F2612">
        <v>5210010105</v>
      </c>
      <c r="G2612" s="13">
        <v>26750</v>
      </c>
      <c r="I2612" t="s">
        <v>179</v>
      </c>
      <c r="J2612" t="s">
        <v>822</v>
      </c>
      <c r="K2612" t="s">
        <v>180</v>
      </c>
      <c r="L2612">
        <v>200027778</v>
      </c>
    </row>
    <row r="2613" spans="3:12">
      <c r="C2613">
        <v>2100300025</v>
      </c>
      <c r="D2613">
        <v>6426000</v>
      </c>
      <c r="E2613" t="s">
        <v>188</v>
      </c>
      <c r="F2613">
        <v>5210010105</v>
      </c>
      <c r="G2613" s="13">
        <v>12733</v>
      </c>
      <c r="I2613" t="s">
        <v>179</v>
      </c>
      <c r="J2613" t="s">
        <v>822</v>
      </c>
      <c r="K2613" t="s">
        <v>180</v>
      </c>
      <c r="L2613">
        <v>200027779</v>
      </c>
    </row>
    <row r="2614" spans="3:12">
      <c r="C2614">
        <v>2100300025</v>
      </c>
      <c r="D2614">
        <v>6426000</v>
      </c>
      <c r="E2614" t="s">
        <v>188</v>
      </c>
      <c r="F2614">
        <v>5210010105</v>
      </c>
      <c r="G2614" s="13">
        <v>7817</v>
      </c>
      <c r="I2614" t="s">
        <v>179</v>
      </c>
      <c r="J2614" t="s">
        <v>567</v>
      </c>
      <c r="K2614" t="s">
        <v>180</v>
      </c>
      <c r="L2614">
        <v>200030730</v>
      </c>
    </row>
    <row r="2615" spans="3:12">
      <c r="C2615">
        <v>2100300025</v>
      </c>
      <c r="D2615">
        <v>6426000</v>
      </c>
      <c r="E2615" t="s">
        <v>188</v>
      </c>
      <c r="F2615">
        <v>5210010105</v>
      </c>
      <c r="G2615" s="13">
        <v>6403</v>
      </c>
      <c r="I2615" t="s">
        <v>179</v>
      </c>
      <c r="J2615" t="s">
        <v>567</v>
      </c>
      <c r="K2615" t="s">
        <v>180</v>
      </c>
      <c r="L2615">
        <v>200030731</v>
      </c>
    </row>
    <row r="2616" spans="3:12">
      <c r="C2616">
        <v>2100300025</v>
      </c>
      <c r="D2616">
        <v>6426000</v>
      </c>
      <c r="E2616" t="s">
        <v>188</v>
      </c>
      <c r="F2616">
        <v>5210010105</v>
      </c>
      <c r="G2616" s="13">
        <v>16160</v>
      </c>
      <c r="I2616" t="s">
        <v>179</v>
      </c>
      <c r="J2616" t="s">
        <v>567</v>
      </c>
      <c r="K2616" t="s">
        <v>180</v>
      </c>
      <c r="L2616">
        <v>200030995</v>
      </c>
    </row>
    <row r="2617" spans="3:12">
      <c r="C2617">
        <v>2100300025</v>
      </c>
      <c r="D2617">
        <v>6426000</v>
      </c>
      <c r="E2617" t="s">
        <v>188</v>
      </c>
      <c r="F2617">
        <v>5210010105</v>
      </c>
      <c r="G2617" s="13">
        <v>2208</v>
      </c>
      <c r="I2617" t="s">
        <v>179</v>
      </c>
      <c r="J2617" t="s">
        <v>567</v>
      </c>
      <c r="K2617" t="s">
        <v>180</v>
      </c>
      <c r="L2617">
        <v>200001063</v>
      </c>
    </row>
    <row r="2618" spans="3:12">
      <c r="C2618">
        <v>2100300025</v>
      </c>
      <c r="D2618">
        <v>6426000</v>
      </c>
      <c r="E2618" t="s">
        <v>188</v>
      </c>
      <c r="F2618">
        <v>5210010105</v>
      </c>
      <c r="G2618" s="13">
        <v>3186</v>
      </c>
      <c r="I2618" t="s">
        <v>179</v>
      </c>
      <c r="J2618" t="s">
        <v>567</v>
      </c>
      <c r="K2618" t="s">
        <v>180</v>
      </c>
      <c r="L2618">
        <v>200029579</v>
      </c>
    </row>
    <row r="2619" spans="3:12">
      <c r="C2619">
        <v>2100300025</v>
      </c>
      <c r="D2619">
        <v>6426000</v>
      </c>
      <c r="E2619" t="s">
        <v>188</v>
      </c>
      <c r="F2619">
        <v>5210010105</v>
      </c>
      <c r="G2619" s="13">
        <v>2854.76</v>
      </c>
      <c r="I2619" t="s">
        <v>179</v>
      </c>
      <c r="J2619" t="s">
        <v>567</v>
      </c>
      <c r="K2619" t="s">
        <v>180</v>
      </c>
      <c r="L2619">
        <v>200031224</v>
      </c>
    </row>
    <row r="2620" spans="3:12">
      <c r="C2620">
        <v>2100300025</v>
      </c>
      <c r="D2620">
        <v>6426000</v>
      </c>
      <c r="E2620" t="s">
        <v>188</v>
      </c>
      <c r="F2620">
        <v>5210010105</v>
      </c>
      <c r="G2620" s="13">
        <v>2974.2</v>
      </c>
      <c r="I2620" t="s">
        <v>179</v>
      </c>
      <c r="J2620" t="s">
        <v>567</v>
      </c>
      <c r="K2620" t="s">
        <v>180</v>
      </c>
      <c r="L2620">
        <v>200029580</v>
      </c>
    </row>
    <row r="2621" spans="3:12">
      <c r="C2621">
        <v>2100300025</v>
      </c>
      <c r="D2621">
        <v>6426000</v>
      </c>
      <c r="E2621" t="s">
        <v>188</v>
      </c>
      <c r="F2621">
        <v>5210010105</v>
      </c>
      <c r="G2621" s="13">
        <v>1530.1</v>
      </c>
      <c r="I2621" t="s">
        <v>179</v>
      </c>
      <c r="J2621" t="s">
        <v>567</v>
      </c>
      <c r="K2621" t="s">
        <v>180</v>
      </c>
      <c r="L2621">
        <v>200031090</v>
      </c>
    </row>
    <row r="2622" spans="3:12">
      <c r="C2622">
        <v>2100300025</v>
      </c>
      <c r="D2622">
        <v>6426000</v>
      </c>
      <c r="E2622" t="s">
        <v>188</v>
      </c>
      <c r="F2622">
        <v>5210010105</v>
      </c>
      <c r="G2622">
        <v>500</v>
      </c>
      <c r="I2622" t="s">
        <v>179</v>
      </c>
      <c r="J2622" t="s">
        <v>567</v>
      </c>
      <c r="K2622" t="s">
        <v>180</v>
      </c>
      <c r="L2622">
        <v>200031226</v>
      </c>
    </row>
    <row r="2623" spans="3:12">
      <c r="C2623">
        <v>2100300025</v>
      </c>
      <c r="D2623">
        <v>6426000</v>
      </c>
      <c r="E2623" t="s">
        <v>188</v>
      </c>
      <c r="F2623">
        <v>5210010105</v>
      </c>
      <c r="G2623" s="13">
        <v>9800</v>
      </c>
      <c r="I2623" t="s">
        <v>179</v>
      </c>
      <c r="J2623" t="s">
        <v>913</v>
      </c>
      <c r="K2623" t="s">
        <v>180</v>
      </c>
      <c r="L2623">
        <v>200033532</v>
      </c>
    </row>
    <row r="2624" spans="3:12">
      <c r="C2624">
        <v>2100300025</v>
      </c>
      <c r="D2624">
        <v>6426000</v>
      </c>
      <c r="E2624" t="s">
        <v>188</v>
      </c>
      <c r="F2624">
        <v>5210010105</v>
      </c>
      <c r="G2624" s="13">
        <v>63772</v>
      </c>
      <c r="I2624" t="s">
        <v>179</v>
      </c>
      <c r="J2624" t="s">
        <v>913</v>
      </c>
      <c r="K2624" t="s">
        <v>180</v>
      </c>
      <c r="L2624">
        <v>200033535</v>
      </c>
    </row>
    <row r="2625" spans="3:12">
      <c r="C2625">
        <v>2100300025</v>
      </c>
      <c r="D2625">
        <v>6426000</v>
      </c>
      <c r="E2625" t="s">
        <v>188</v>
      </c>
      <c r="F2625">
        <v>5210010105</v>
      </c>
      <c r="G2625" s="13">
        <v>105400</v>
      </c>
      <c r="I2625" t="s">
        <v>179</v>
      </c>
      <c r="J2625" t="s">
        <v>913</v>
      </c>
      <c r="K2625" t="s">
        <v>180</v>
      </c>
      <c r="L2625">
        <v>200033425</v>
      </c>
    </row>
    <row r="2626" spans="3:12">
      <c r="C2626">
        <v>2100300025</v>
      </c>
      <c r="D2626">
        <v>6426000</v>
      </c>
      <c r="E2626" t="s">
        <v>188</v>
      </c>
      <c r="F2626">
        <v>5210010105</v>
      </c>
      <c r="G2626" s="13">
        <v>6675</v>
      </c>
      <c r="I2626" t="s">
        <v>179</v>
      </c>
      <c r="J2626" t="s">
        <v>913</v>
      </c>
      <c r="K2626" t="s">
        <v>180</v>
      </c>
      <c r="L2626">
        <v>200033540</v>
      </c>
    </row>
    <row r="2627" spans="3:12">
      <c r="C2627">
        <v>2100300025</v>
      </c>
      <c r="D2627">
        <v>6426000</v>
      </c>
      <c r="E2627" t="s">
        <v>188</v>
      </c>
      <c r="F2627">
        <v>5210010105</v>
      </c>
      <c r="G2627" s="13">
        <v>7087.68</v>
      </c>
      <c r="I2627" t="s">
        <v>179</v>
      </c>
      <c r="J2627" t="s">
        <v>913</v>
      </c>
      <c r="K2627" t="s">
        <v>180</v>
      </c>
      <c r="L2627">
        <v>200033427</v>
      </c>
    </row>
    <row r="2628" spans="3:12">
      <c r="C2628">
        <v>2100300025</v>
      </c>
      <c r="D2628">
        <v>6426000</v>
      </c>
      <c r="E2628" t="s">
        <v>188</v>
      </c>
      <c r="F2628">
        <v>5210010105</v>
      </c>
      <c r="G2628" s="13">
        <v>78645</v>
      </c>
      <c r="I2628" t="s">
        <v>179</v>
      </c>
      <c r="J2628" t="s">
        <v>913</v>
      </c>
      <c r="K2628" t="s">
        <v>180</v>
      </c>
      <c r="L2628">
        <v>200033675</v>
      </c>
    </row>
    <row r="2629" spans="3:12">
      <c r="C2629">
        <v>2100300025</v>
      </c>
      <c r="D2629">
        <v>6426000</v>
      </c>
      <c r="E2629" t="s">
        <v>188</v>
      </c>
      <c r="F2629">
        <v>5210010105</v>
      </c>
      <c r="G2629" s="13">
        <v>14124</v>
      </c>
      <c r="I2629" t="s">
        <v>179</v>
      </c>
      <c r="J2629" t="s">
        <v>913</v>
      </c>
      <c r="K2629" t="s">
        <v>180</v>
      </c>
      <c r="L2629">
        <v>200033677</v>
      </c>
    </row>
    <row r="2630" spans="3:12">
      <c r="C2630">
        <v>2100300025</v>
      </c>
      <c r="D2630">
        <v>6426000</v>
      </c>
      <c r="E2630" t="s">
        <v>188</v>
      </c>
      <c r="F2630">
        <v>5210010105</v>
      </c>
      <c r="G2630" s="13">
        <v>10000</v>
      </c>
      <c r="I2630" t="s">
        <v>179</v>
      </c>
      <c r="J2630" t="s">
        <v>913</v>
      </c>
      <c r="K2630" t="s">
        <v>180</v>
      </c>
      <c r="L2630">
        <v>200033541</v>
      </c>
    </row>
    <row r="2631" spans="3:12">
      <c r="C2631">
        <v>2100300025</v>
      </c>
      <c r="D2631">
        <v>6426000</v>
      </c>
      <c r="E2631" t="s">
        <v>188</v>
      </c>
      <c r="F2631">
        <v>5210010105</v>
      </c>
      <c r="G2631" s="13">
        <v>2354</v>
      </c>
      <c r="I2631" t="s">
        <v>179</v>
      </c>
      <c r="J2631" t="s">
        <v>913</v>
      </c>
      <c r="K2631" t="s">
        <v>180</v>
      </c>
      <c r="L2631">
        <v>200033547</v>
      </c>
    </row>
    <row r="2632" spans="3:12">
      <c r="C2632">
        <v>2100300025</v>
      </c>
      <c r="D2632">
        <v>6426000</v>
      </c>
      <c r="E2632" t="s">
        <v>188</v>
      </c>
      <c r="F2632">
        <v>5210010105</v>
      </c>
      <c r="G2632" s="13">
        <v>8700</v>
      </c>
      <c r="I2632" t="s">
        <v>179</v>
      </c>
      <c r="J2632" t="s">
        <v>913</v>
      </c>
      <c r="K2632" t="s">
        <v>180</v>
      </c>
      <c r="L2632">
        <v>200031285</v>
      </c>
    </row>
    <row r="2633" spans="3:12">
      <c r="C2633">
        <v>2100300025</v>
      </c>
      <c r="D2633">
        <v>6426000</v>
      </c>
      <c r="E2633" t="s">
        <v>188</v>
      </c>
      <c r="F2633">
        <v>5210010105</v>
      </c>
      <c r="G2633" s="13">
        <v>3940</v>
      </c>
      <c r="I2633" t="s">
        <v>179</v>
      </c>
      <c r="J2633" t="s">
        <v>913</v>
      </c>
      <c r="K2633" t="s">
        <v>180</v>
      </c>
      <c r="L2633">
        <v>200031286</v>
      </c>
    </row>
    <row r="2634" spans="3:12">
      <c r="C2634">
        <v>2100300025</v>
      </c>
      <c r="D2634">
        <v>6426000</v>
      </c>
      <c r="E2634" t="s">
        <v>188</v>
      </c>
      <c r="F2634">
        <v>5210010105</v>
      </c>
      <c r="G2634" s="13">
        <v>108230.5</v>
      </c>
      <c r="I2634" t="s">
        <v>179</v>
      </c>
      <c r="J2634" t="s">
        <v>913</v>
      </c>
      <c r="K2634" t="s">
        <v>180</v>
      </c>
      <c r="L2634">
        <v>200031287</v>
      </c>
    </row>
    <row r="2635" spans="3:12">
      <c r="C2635">
        <v>2100300025</v>
      </c>
      <c r="D2635">
        <v>6426000</v>
      </c>
      <c r="E2635" t="s">
        <v>188</v>
      </c>
      <c r="F2635">
        <v>5210010105</v>
      </c>
      <c r="G2635" s="13">
        <v>-1630000</v>
      </c>
      <c r="I2635" t="s">
        <v>179</v>
      </c>
      <c r="J2635" t="s">
        <v>915</v>
      </c>
      <c r="K2635" t="s">
        <v>180</v>
      </c>
      <c r="L2635">
        <v>200040013</v>
      </c>
    </row>
    <row r="2636" spans="3:12">
      <c r="C2636">
        <v>2100300025</v>
      </c>
      <c r="D2636">
        <v>6426000</v>
      </c>
      <c r="E2636" t="s">
        <v>188</v>
      </c>
      <c r="F2636">
        <v>5210010105</v>
      </c>
      <c r="G2636" s="13">
        <v>-326000</v>
      </c>
      <c r="I2636" t="s">
        <v>179</v>
      </c>
      <c r="J2636" t="s">
        <v>915</v>
      </c>
      <c r="K2636" t="s">
        <v>180</v>
      </c>
      <c r="L2636">
        <v>200040133</v>
      </c>
    </row>
    <row r="2637" spans="3:12">
      <c r="C2637">
        <v>2100300025</v>
      </c>
      <c r="D2637">
        <v>6426000</v>
      </c>
      <c r="E2637" t="s">
        <v>188</v>
      </c>
      <c r="F2637">
        <v>5210010105</v>
      </c>
      <c r="G2637" s="13">
        <v>2142</v>
      </c>
      <c r="I2637" t="s">
        <v>179</v>
      </c>
      <c r="J2637" t="s">
        <v>799</v>
      </c>
      <c r="K2637" t="s">
        <v>180</v>
      </c>
      <c r="L2637">
        <v>200034755</v>
      </c>
    </row>
    <row r="2638" spans="3:12">
      <c r="C2638">
        <v>2100300025</v>
      </c>
      <c r="D2638">
        <v>6426000</v>
      </c>
      <c r="E2638" t="s">
        <v>188</v>
      </c>
      <c r="F2638">
        <v>5210010105</v>
      </c>
      <c r="G2638" s="13">
        <v>2400</v>
      </c>
      <c r="I2638" t="s">
        <v>179</v>
      </c>
      <c r="J2638" t="s">
        <v>799</v>
      </c>
      <c r="K2638" t="s">
        <v>180</v>
      </c>
      <c r="L2638">
        <v>200035866</v>
      </c>
    </row>
    <row r="2639" spans="3:12">
      <c r="C2639">
        <v>2100300025</v>
      </c>
      <c r="D2639">
        <v>6426000</v>
      </c>
      <c r="E2639" t="s">
        <v>188</v>
      </c>
      <c r="F2639">
        <v>5210010105</v>
      </c>
      <c r="G2639" s="13">
        <v>46043</v>
      </c>
      <c r="I2639" t="s">
        <v>179</v>
      </c>
      <c r="J2639" t="s">
        <v>799</v>
      </c>
      <c r="K2639" t="s">
        <v>180</v>
      </c>
      <c r="L2639">
        <v>200034471</v>
      </c>
    </row>
    <row r="2640" spans="3:12">
      <c r="C2640">
        <v>2100300025</v>
      </c>
      <c r="D2640">
        <v>6426000</v>
      </c>
      <c r="E2640" t="s">
        <v>188</v>
      </c>
      <c r="F2640">
        <v>5210010105</v>
      </c>
      <c r="G2640" s="13">
        <v>6000</v>
      </c>
      <c r="I2640" t="s">
        <v>179</v>
      </c>
      <c r="J2640" t="s">
        <v>799</v>
      </c>
      <c r="K2640" t="s">
        <v>180</v>
      </c>
      <c r="L2640">
        <v>200035880</v>
      </c>
    </row>
    <row r="2641" spans="3:12">
      <c r="C2641">
        <v>2100300025</v>
      </c>
      <c r="D2641">
        <v>6426000</v>
      </c>
      <c r="E2641" t="s">
        <v>188</v>
      </c>
      <c r="F2641">
        <v>5210010105</v>
      </c>
      <c r="G2641" s="13">
        <v>6000</v>
      </c>
      <c r="I2641" t="s">
        <v>179</v>
      </c>
      <c r="J2641" t="s">
        <v>799</v>
      </c>
      <c r="K2641" t="s">
        <v>180</v>
      </c>
      <c r="L2641">
        <v>200035881</v>
      </c>
    </row>
    <row r="2642" spans="3:12">
      <c r="C2642">
        <v>2100300025</v>
      </c>
      <c r="D2642">
        <v>6426000</v>
      </c>
      <c r="E2642" t="s">
        <v>188</v>
      </c>
      <c r="F2642">
        <v>5210010105</v>
      </c>
      <c r="G2642" s="13">
        <v>10350</v>
      </c>
      <c r="I2642" t="s">
        <v>179</v>
      </c>
      <c r="J2642" t="s">
        <v>799</v>
      </c>
      <c r="K2642" t="s">
        <v>180</v>
      </c>
      <c r="L2642">
        <v>200034419</v>
      </c>
    </row>
    <row r="2643" spans="3:12">
      <c r="C2643">
        <v>2100300025</v>
      </c>
      <c r="D2643">
        <v>6426000</v>
      </c>
      <c r="E2643" t="s">
        <v>188</v>
      </c>
      <c r="F2643">
        <v>5210010105</v>
      </c>
      <c r="G2643" s="13">
        <v>10657.2</v>
      </c>
      <c r="I2643" t="s">
        <v>179</v>
      </c>
      <c r="J2643" t="s">
        <v>799</v>
      </c>
      <c r="K2643" t="s">
        <v>180</v>
      </c>
      <c r="L2643">
        <v>200034577</v>
      </c>
    </row>
    <row r="2644" spans="3:12">
      <c r="C2644">
        <v>2100300025</v>
      </c>
      <c r="D2644">
        <v>6426000</v>
      </c>
      <c r="E2644" t="s">
        <v>188</v>
      </c>
      <c r="F2644">
        <v>5210010105</v>
      </c>
      <c r="G2644" s="13">
        <v>56624.4</v>
      </c>
      <c r="I2644" t="s">
        <v>179</v>
      </c>
      <c r="J2644" t="s">
        <v>799</v>
      </c>
      <c r="K2644" t="s">
        <v>180</v>
      </c>
      <c r="L2644">
        <v>200035413</v>
      </c>
    </row>
    <row r="2645" spans="3:12">
      <c r="C2645">
        <v>2100300025</v>
      </c>
      <c r="D2645">
        <v>6426000</v>
      </c>
      <c r="E2645" t="s">
        <v>188</v>
      </c>
      <c r="F2645">
        <v>5210010105</v>
      </c>
      <c r="G2645" s="13">
        <v>1391</v>
      </c>
      <c r="I2645" t="s">
        <v>179</v>
      </c>
      <c r="J2645" t="s">
        <v>799</v>
      </c>
      <c r="K2645" t="s">
        <v>180</v>
      </c>
      <c r="L2645">
        <v>200034582</v>
      </c>
    </row>
    <row r="2646" spans="3:12">
      <c r="C2646">
        <v>2100300025</v>
      </c>
      <c r="D2646">
        <v>6426000</v>
      </c>
      <c r="E2646" t="s">
        <v>188</v>
      </c>
      <c r="F2646">
        <v>5210010105</v>
      </c>
      <c r="G2646" s="13">
        <v>3129.75</v>
      </c>
      <c r="I2646" t="s">
        <v>179</v>
      </c>
      <c r="J2646" t="s">
        <v>799</v>
      </c>
      <c r="K2646" t="s">
        <v>180</v>
      </c>
      <c r="L2646">
        <v>200034583</v>
      </c>
    </row>
    <row r="2647" spans="3:12">
      <c r="C2647">
        <v>2100300025</v>
      </c>
      <c r="D2647">
        <v>6426000</v>
      </c>
      <c r="E2647" t="s">
        <v>188</v>
      </c>
      <c r="F2647">
        <v>5210010105</v>
      </c>
      <c r="G2647">
        <v>160.5</v>
      </c>
      <c r="I2647" t="s">
        <v>179</v>
      </c>
      <c r="J2647" t="s">
        <v>799</v>
      </c>
      <c r="K2647" t="s">
        <v>180</v>
      </c>
      <c r="L2647">
        <v>200034584</v>
      </c>
    </row>
    <row r="2648" spans="3:12">
      <c r="C2648">
        <v>2100300025</v>
      </c>
      <c r="D2648">
        <v>6426000</v>
      </c>
      <c r="E2648" t="s">
        <v>188</v>
      </c>
      <c r="F2648">
        <v>5210010105</v>
      </c>
      <c r="G2648">
        <v>268.8</v>
      </c>
      <c r="I2648" t="s">
        <v>179</v>
      </c>
      <c r="J2648" t="s">
        <v>799</v>
      </c>
      <c r="K2648" t="s">
        <v>180</v>
      </c>
      <c r="L2648">
        <v>200034585</v>
      </c>
    </row>
    <row r="2649" spans="3:12">
      <c r="C2649">
        <v>2100300025</v>
      </c>
      <c r="D2649">
        <v>6426000</v>
      </c>
      <c r="E2649" t="s">
        <v>188</v>
      </c>
      <c r="F2649">
        <v>5210010105</v>
      </c>
      <c r="G2649" s="13">
        <v>5350</v>
      </c>
      <c r="I2649" t="s">
        <v>179</v>
      </c>
      <c r="J2649" t="s">
        <v>799</v>
      </c>
      <c r="K2649" t="s">
        <v>180</v>
      </c>
      <c r="L2649">
        <v>200034586</v>
      </c>
    </row>
    <row r="2650" spans="3:12">
      <c r="C2650">
        <v>2100300025</v>
      </c>
      <c r="D2650">
        <v>6426000</v>
      </c>
      <c r="E2650" t="s">
        <v>188</v>
      </c>
      <c r="F2650">
        <v>5210010105</v>
      </c>
      <c r="G2650">
        <v>600</v>
      </c>
      <c r="I2650" t="s">
        <v>179</v>
      </c>
      <c r="J2650" t="s">
        <v>799</v>
      </c>
      <c r="K2650" t="s">
        <v>180</v>
      </c>
      <c r="L2650">
        <v>200034587</v>
      </c>
    </row>
    <row r="2651" spans="3:12">
      <c r="C2651">
        <v>2100300025</v>
      </c>
      <c r="D2651">
        <v>6426000</v>
      </c>
      <c r="E2651" t="s">
        <v>188</v>
      </c>
      <c r="F2651">
        <v>5210010105</v>
      </c>
      <c r="G2651" s="13">
        <v>3531</v>
      </c>
      <c r="I2651" t="s">
        <v>179</v>
      </c>
      <c r="J2651" t="s">
        <v>799</v>
      </c>
      <c r="K2651" t="s">
        <v>180</v>
      </c>
      <c r="L2651">
        <v>200034588</v>
      </c>
    </row>
    <row r="2652" spans="3:12">
      <c r="C2652">
        <v>2100300025</v>
      </c>
      <c r="D2652">
        <v>6426000</v>
      </c>
      <c r="E2652" t="s">
        <v>188</v>
      </c>
      <c r="F2652">
        <v>5210010105</v>
      </c>
      <c r="G2652" s="13">
        <v>12969</v>
      </c>
      <c r="I2652" t="s">
        <v>179</v>
      </c>
      <c r="J2652" t="s">
        <v>799</v>
      </c>
      <c r="K2652" t="s">
        <v>180</v>
      </c>
      <c r="L2652">
        <v>200034589</v>
      </c>
    </row>
    <row r="2653" spans="3:12">
      <c r="C2653">
        <v>2100300025</v>
      </c>
      <c r="D2653">
        <v>6426000</v>
      </c>
      <c r="E2653" t="s">
        <v>188</v>
      </c>
      <c r="F2653">
        <v>5210010105</v>
      </c>
      <c r="G2653" s="13">
        <v>73830</v>
      </c>
      <c r="I2653" t="s">
        <v>179</v>
      </c>
      <c r="J2653" t="s">
        <v>799</v>
      </c>
      <c r="K2653" t="s">
        <v>180</v>
      </c>
      <c r="L2653">
        <v>200034593</v>
      </c>
    </row>
    <row r="2654" spans="3:12">
      <c r="C2654">
        <v>2100300025</v>
      </c>
      <c r="D2654">
        <v>6426000</v>
      </c>
      <c r="E2654" t="s">
        <v>188</v>
      </c>
      <c r="F2654">
        <v>5210010105</v>
      </c>
      <c r="G2654" s="13">
        <v>18900</v>
      </c>
      <c r="I2654" t="s">
        <v>179</v>
      </c>
      <c r="J2654" t="s">
        <v>799</v>
      </c>
      <c r="K2654" t="s">
        <v>180</v>
      </c>
      <c r="L2654">
        <v>200035432</v>
      </c>
    </row>
    <row r="2655" spans="3:12">
      <c r="C2655">
        <v>2100300025</v>
      </c>
      <c r="D2655">
        <v>6426000</v>
      </c>
      <c r="E2655" t="s">
        <v>188</v>
      </c>
      <c r="F2655">
        <v>5210010105</v>
      </c>
      <c r="G2655" s="13">
        <v>60000</v>
      </c>
      <c r="I2655" t="s">
        <v>179</v>
      </c>
      <c r="J2655" t="s">
        <v>799</v>
      </c>
      <c r="K2655" t="s">
        <v>180</v>
      </c>
      <c r="L2655">
        <v>200034596</v>
      </c>
    </row>
    <row r="2656" spans="3:12">
      <c r="C2656">
        <v>2100300025</v>
      </c>
      <c r="D2656">
        <v>6426000</v>
      </c>
      <c r="E2656" t="s">
        <v>188</v>
      </c>
      <c r="F2656">
        <v>5210010105</v>
      </c>
      <c r="G2656" s="13">
        <v>7200</v>
      </c>
      <c r="I2656" t="s">
        <v>179</v>
      </c>
      <c r="J2656" t="s">
        <v>799</v>
      </c>
      <c r="K2656" t="s">
        <v>180</v>
      </c>
      <c r="L2656">
        <v>200034432</v>
      </c>
    </row>
    <row r="2657" spans="3:12">
      <c r="C2657">
        <v>2100300025</v>
      </c>
      <c r="D2657">
        <v>6426000</v>
      </c>
      <c r="E2657" t="s">
        <v>188</v>
      </c>
      <c r="F2657">
        <v>5210010105</v>
      </c>
      <c r="G2657" s="13">
        <v>11000</v>
      </c>
      <c r="I2657" t="s">
        <v>179</v>
      </c>
      <c r="J2657" t="s">
        <v>799</v>
      </c>
      <c r="K2657" t="s">
        <v>180</v>
      </c>
      <c r="L2657">
        <v>200034434</v>
      </c>
    </row>
    <row r="2658" spans="3:12">
      <c r="C2658">
        <v>2100300025</v>
      </c>
      <c r="D2658">
        <v>6426000</v>
      </c>
      <c r="E2658" t="s">
        <v>188</v>
      </c>
      <c r="F2658">
        <v>5210010105</v>
      </c>
      <c r="G2658" s="13">
        <v>35000</v>
      </c>
      <c r="I2658" t="s">
        <v>179</v>
      </c>
      <c r="J2658" t="s">
        <v>799</v>
      </c>
      <c r="K2658" t="s">
        <v>180</v>
      </c>
      <c r="L2658">
        <v>200035802</v>
      </c>
    </row>
    <row r="2659" spans="3:12">
      <c r="C2659">
        <v>2100300025</v>
      </c>
      <c r="D2659">
        <v>6426000</v>
      </c>
      <c r="E2659" t="s">
        <v>188</v>
      </c>
      <c r="F2659">
        <v>5210010105</v>
      </c>
      <c r="G2659" s="13">
        <v>140000</v>
      </c>
      <c r="I2659" t="s">
        <v>179</v>
      </c>
      <c r="J2659" t="s">
        <v>799</v>
      </c>
      <c r="K2659" t="s">
        <v>180</v>
      </c>
      <c r="L2659">
        <v>200035811</v>
      </c>
    </row>
    <row r="2660" spans="3:12">
      <c r="C2660">
        <v>2100300025</v>
      </c>
      <c r="D2660">
        <v>6426000</v>
      </c>
      <c r="E2660" t="s">
        <v>188</v>
      </c>
      <c r="F2660">
        <v>5210010105</v>
      </c>
      <c r="G2660" s="13">
        <v>6955</v>
      </c>
      <c r="I2660" t="s">
        <v>179</v>
      </c>
      <c r="J2660" t="s">
        <v>914</v>
      </c>
      <c r="K2660" t="s">
        <v>180</v>
      </c>
      <c r="L2660">
        <v>200040037</v>
      </c>
    </row>
    <row r="2661" spans="3:12">
      <c r="C2661">
        <v>2100300025</v>
      </c>
      <c r="D2661">
        <v>6426000</v>
      </c>
      <c r="E2661" t="s">
        <v>188</v>
      </c>
      <c r="F2661">
        <v>5210010105</v>
      </c>
      <c r="G2661" s="13">
        <v>1498000</v>
      </c>
      <c r="I2661" t="s">
        <v>179</v>
      </c>
      <c r="J2661" t="s">
        <v>914</v>
      </c>
      <c r="K2661" t="s">
        <v>180</v>
      </c>
      <c r="L2661">
        <v>200040616</v>
      </c>
    </row>
    <row r="2662" spans="3:12">
      <c r="C2662">
        <v>2100300025</v>
      </c>
      <c r="D2662">
        <v>6426000</v>
      </c>
      <c r="E2662" t="s">
        <v>188</v>
      </c>
      <c r="F2662">
        <v>5210010105</v>
      </c>
      <c r="G2662" s="13">
        <v>13250.88</v>
      </c>
      <c r="I2662" t="s">
        <v>179</v>
      </c>
      <c r="J2662" t="s">
        <v>914</v>
      </c>
      <c r="K2662" t="s">
        <v>180</v>
      </c>
      <c r="L2662">
        <v>200040618</v>
      </c>
    </row>
    <row r="2663" spans="3:12">
      <c r="C2663">
        <v>2100300025</v>
      </c>
      <c r="D2663">
        <v>6426000</v>
      </c>
      <c r="E2663" t="s">
        <v>188</v>
      </c>
      <c r="F2663">
        <v>5210010105</v>
      </c>
      <c r="G2663" s="13">
        <v>13345</v>
      </c>
      <c r="I2663" t="s">
        <v>179</v>
      </c>
      <c r="J2663" t="s">
        <v>914</v>
      </c>
      <c r="K2663" t="s">
        <v>180</v>
      </c>
      <c r="L2663">
        <v>200040039</v>
      </c>
    </row>
    <row r="2664" spans="3:12">
      <c r="C2664">
        <v>2100300025</v>
      </c>
      <c r="D2664">
        <v>6426000</v>
      </c>
      <c r="E2664" t="s">
        <v>188</v>
      </c>
      <c r="F2664">
        <v>5210010105</v>
      </c>
      <c r="G2664" s="13">
        <v>45000</v>
      </c>
      <c r="I2664" t="s">
        <v>179</v>
      </c>
      <c r="J2664" t="s">
        <v>914</v>
      </c>
      <c r="K2664" t="s">
        <v>180</v>
      </c>
      <c r="L2664">
        <v>200039342</v>
      </c>
    </row>
    <row r="2665" spans="3:12">
      <c r="C2665">
        <v>2100300025</v>
      </c>
      <c r="D2665">
        <v>6426000</v>
      </c>
      <c r="E2665" t="s">
        <v>188</v>
      </c>
      <c r="F2665">
        <v>5210010105</v>
      </c>
      <c r="G2665" s="13">
        <v>242580</v>
      </c>
      <c r="I2665" t="s">
        <v>179</v>
      </c>
      <c r="J2665" t="s">
        <v>913</v>
      </c>
      <c r="K2665" t="s">
        <v>180</v>
      </c>
      <c r="L2665">
        <v>200033678</v>
      </c>
    </row>
    <row r="2666" spans="3:12">
      <c r="C2666">
        <v>2100300025</v>
      </c>
      <c r="D2666">
        <v>6426000</v>
      </c>
      <c r="E2666" t="s">
        <v>188</v>
      </c>
      <c r="F2666">
        <v>5210010105</v>
      </c>
      <c r="G2666" s="13">
        <v>34440</v>
      </c>
      <c r="I2666" t="s">
        <v>179</v>
      </c>
      <c r="J2666" t="s">
        <v>799</v>
      </c>
      <c r="K2666" t="s">
        <v>180</v>
      </c>
      <c r="L2666">
        <v>200035932</v>
      </c>
    </row>
    <row r="2667" spans="3:12">
      <c r="C2667">
        <v>2100300025</v>
      </c>
      <c r="D2667">
        <v>6426000</v>
      </c>
      <c r="E2667" t="s">
        <v>188</v>
      </c>
      <c r="F2667">
        <v>5210010105</v>
      </c>
      <c r="G2667" s="13">
        <v>4780</v>
      </c>
      <c r="I2667" t="s">
        <v>179</v>
      </c>
      <c r="J2667" t="s">
        <v>914</v>
      </c>
      <c r="K2667" t="s">
        <v>180</v>
      </c>
      <c r="L2667">
        <v>200040819</v>
      </c>
    </row>
    <row r="2668" spans="3:12">
      <c r="C2668">
        <v>2100300025</v>
      </c>
      <c r="D2668">
        <v>6426000</v>
      </c>
      <c r="E2668" t="s">
        <v>188</v>
      </c>
      <c r="F2668">
        <v>5210010105</v>
      </c>
      <c r="G2668" s="13">
        <v>2000</v>
      </c>
      <c r="I2668" t="s">
        <v>179</v>
      </c>
      <c r="J2668" t="s">
        <v>914</v>
      </c>
      <c r="K2668" t="s">
        <v>180</v>
      </c>
      <c r="L2668">
        <v>200040820</v>
      </c>
    </row>
    <row r="2669" spans="3:12">
      <c r="C2669">
        <v>2100300025</v>
      </c>
      <c r="D2669">
        <v>6426000</v>
      </c>
      <c r="E2669" t="s">
        <v>188</v>
      </c>
      <c r="F2669">
        <v>5210010105</v>
      </c>
      <c r="G2669" s="13">
        <v>10914.55</v>
      </c>
      <c r="I2669" t="s">
        <v>179</v>
      </c>
      <c r="J2669" t="s">
        <v>914</v>
      </c>
      <c r="K2669" t="s">
        <v>180</v>
      </c>
      <c r="L2669">
        <v>200034166</v>
      </c>
    </row>
    <row r="2670" spans="3:12">
      <c r="C2670">
        <v>2100300025</v>
      </c>
      <c r="D2670">
        <v>6426000</v>
      </c>
      <c r="E2670" t="s">
        <v>188</v>
      </c>
      <c r="F2670">
        <v>5210010105</v>
      </c>
      <c r="G2670" s="13">
        <v>16800</v>
      </c>
      <c r="I2670" t="s">
        <v>179</v>
      </c>
      <c r="J2670" t="s">
        <v>914</v>
      </c>
      <c r="K2670" t="s">
        <v>180</v>
      </c>
      <c r="L2670">
        <v>200039981</v>
      </c>
    </row>
    <row r="2671" spans="3:12">
      <c r="C2671">
        <v>2100300025</v>
      </c>
      <c r="D2671">
        <v>6426000</v>
      </c>
      <c r="E2671" t="s">
        <v>188</v>
      </c>
      <c r="F2671">
        <v>5210010105</v>
      </c>
      <c r="G2671">
        <v>120</v>
      </c>
      <c r="I2671" t="s">
        <v>179</v>
      </c>
      <c r="J2671" t="s">
        <v>914</v>
      </c>
      <c r="K2671" t="s">
        <v>180</v>
      </c>
      <c r="L2671">
        <v>200039982</v>
      </c>
    </row>
    <row r="2672" spans="3:12">
      <c r="C2672">
        <v>2100300025</v>
      </c>
      <c r="D2672">
        <v>6426000</v>
      </c>
      <c r="E2672" t="s">
        <v>188</v>
      </c>
      <c r="F2672">
        <v>5210010105</v>
      </c>
      <c r="G2672" s="13">
        <v>11090</v>
      </c>
      <c r="I2672" t="s">
        <v>179</v>
      </c>
      <c r="J2672" t="s">
        <v>914</v>
      </c>
      <c r="K2672" t="s">
        <v>180</v>
      </c>
      <c r="L2672">
        <v>200039983</v>
      </c>
    </row>
    <row r="2673" spans="3:12">
      <c r="C2673">
        <v>2100300025</v>
      </c>
      <c r="D2673">
        <v>6426000</v>
      </c>
      <c r="E2673" t="s">
        <v>188</v>
      </c>
      <c r="F2673">
        <v>5210010105</v>
      </c>
      <c r="G2673" s="13">
        <v>34593.5</v>
      </c>
      <c r="I2673" t="s">
        <v>179</v>
      </c>
      <c r="J2673" t="s">
        <v>914</v>
      </c>
      <c r="K2673" t="s">
        <v>180</v>
      </c>
      <c r="L2673">
        <v>200039984</v>
      </c>
    </row>
    <row r="2674" spans="3:12">
      <c r="C2674">
        <v>2100300025</v>
      </c>
      <c r="D2674">
        <v>6426000</v>
      </c>
      <c r="E2674" t="s">
        <v>188</v>
      </c>
      <c r="F2674">
        <v>5210010105</v>
      </c>
      <c r="G2674" s="13">
        <v>39130</v>
      </c>
      <c r="I2674" t="s">
        <v>179</v>
      </c>
      <c r="J2674" t="s">
        <v>914</v>
      </c>
      <c r="K2674" t="s">
        <v>180</v>
      </c>
      <c r="L2674">
        <v>200039985</v>
      </c>
    </row>
    <row r="2675" spans="3:12">
      <c r="C2675">
        <v>2100300025</v>
      </c>
      <c r="D2675">
        <v>6426000</v>
      </c>
      <c r="E2675" t="s">
        <v>188</v>
      </c>
      <c r="F2675">
        <v>5210010105</v>
      </c>
      <c r="G2675" s="13">
        <v>25100</v>
      </c>
      <c r="I2675" t="s">
        <v>179</v>
      </c>
      <c r="J2675" t="s">
        <v>914</v>
      </c>
      <c r="K2675" t="s">
        <v>180</v>
      </c>
      <c r="L2675">
        <v>200040821</v>
      </c>
    </row>
    <row r="2676" spans="3:12">
      <c r="C2676">
        <v>2100300025</v>
      </c>
      <c r="D2676">
        <v>6426000</v>
      </c>
      <c r="E2676" t="s">
        <v>188</v>
      </c>
      <c r="F2676">
        <v>5210010105</v>
      </c>
      <c r="G2676" s="13">
        <v>136853.22</v>
      </c>
      <c r="I2676" t="s">
        <v>179</v>
      </c>
      <c r="J2676" t="s">
        <v>915</v>
      </c>
      <c r="K2676" t="s">
        <v>180</v>
      </c>
      <c r="L2676">
        <v>200040191</v>
      </c>
    </row>
    <row r="2677" spans="3:12">
      <c r="C2677">
        <v>2100300025</v>
      </c>
      <c r="D2677">
        <v>6426000</v>
      </c>
      <c r="E2677" t="s">
        <v>188</v>
      </c>
      <c r="F2677">
        <v>5210010105</v>
      </c>
      <c r="G2677" s="13">
        <v>82560</v>
      </c>
      <c r="I2677" t="s">
        <v>179</v>
      </c>
      <c r="J2677" t="s">
        <v>915</v>
      </c>
      <c r="K2677" t="s">
        <v>180</v>
      </c>
      <c r="L2677">
        <v>200040401</v>
      </c>
    </row>
    <row r="2678" spans="3:12">
      <c r="C2678">
        <v>2100300025</v>
      </c>
      <c r="D2678">
        <v>6426000</v>
      </c>
      <c r="E2678" t="s">
        <v>188</v>
      </c>
      <c r="F2678">
        <v>5210010105</v>
      </c>
      <c r="G2678" s="13">
        <v>1136901.25</v>
      </c>
      <c r="I2678" t="s">
        <v>179</v>
      </c>
      <c r="J2678" t="s">
        <v>915</v>
      </c>
      <c r="K2678" t="s">
        <v>180</v>
      </c>
      <c r="L2678">
        <v>200040402</v>
      </c>
    </row>
    <row r="2679" spans="3:12">
      <c r="C2679">
        <v>2100300025</v>
      </c>
      <c r="D2679">
        <v>6426000</v>
      </c>
      <c r="E2679" t="s">
        <v>188</v>
      </c>
      <c r="F2679">
        <v>5210010105</v>
      </c>
      <c r="G2679" s="13">
        <v>3500</v>
      </c>
      <c r="I2679" t="s">
        <v>179</v>
      </c>
      <c r="J2679" t="s">
        <v>916</v>
      </c>
      <c r="K2679" t="s">
        <v>180</v>
      </c>
      <c r="L2679">
        <v>200037855</v>
      </c>
    </row>
    <row r="2680" spans="3:12">
      <c r="C2680">
        <v>2100300025</v>
      </c>
      <c r="D2680">
        <v>6426000</v>
      </c>
      <c r="E2680" t="s">
        <v>188</v>
      </c>
      <c r="F2680">
        <v>5210010105</v>
      </c>
      <c r="G2680" s="13">
        <v>5000</v>
      </c>
      <c r="I2680" t="s">
        <v>179</v>
      </c>
      <c r="J2680" t="s">
        <v>916</v>
      </c>
      <c r="K2680" t="s">
        <v>180</v>
      </c>
      <c r="L2680">
        <v>200037856</v>
      </c>
    </row>
    <row r="2681" spans="3:12">
      <c r="C2681">
        <v>2100300025</v>
      </c>
      <c r="D2681">
        <v>6426000</v>
      </c>
      <c r="E2681" t="s">
        <v>188</v>
      </c>
      <c r="F2681">
        <v>5210010105</v>
      </c>
      <c r="G2681">
        <v>810</v>
      </c>
      <c r="I2681" t="s">
        <v>179</v>
      </c>
      <c r="J2681" t="s">
        <v>916</v>
      </c>
      <c r="K2681" t="s">
        <v>180</v>
      </c>
      <c r="L2681">
        <v>200037857</v>
      </c>
    </row>
    <row r="2682" spans="3:12">
      <c r="C2682">
        <v>2100300025</v>
      </c>
      <c r="D2682">
        <v>6426000</v>
      </c>
      <c r="E2682" t="s">
        <v>188</v>
      </c>
      <c r="F2682">
        <v>5210010105</v>
      </c>
      <c r="G2682">
        <v>250</v>
      </c>
      <c r="I2682" t="s">
        <v>179</v>
      </c>
      <c r="J2682" t="s">
        <v>916</v>
      </c>
      <c r="K2682" t="s">
        <v>180</v>
      </c>
      <c r="L2682">
        <v>200037858</v>
      </c>
    </row>
    <row r="2683" spans="3:12">
      <c r="C2683">
        <v>2100300025</v>
      </c>
      <c r="D2683">
        <v>6426000</v>
      </c>
      <c r="E2683" t="s">
        <v>188</v>
      </c>
      <c r="F2683">
        <v>5210010105</v>
      </c>
      <c r="G2683" s="13">
        <v>2000</v>
      </c>
      <c r="I2683" t="s">
        <v>179</v>
      </c>
      <c r="J2683" t="s">
        <v>916</v>
      </c>
      <c r="K2683" t="s">
        <v>180</v>
      </c>
      <c r="L2683">
        <v>200037859</v>
      </c>
    </row>
    <row r="2684" spans="3:12">
      <c r="C2684">
        <v>2100300025</v>
      </c>
      <c r="D2684">
        <v>6426000</v>
      </c>
      <c r="E2684" t="s">
        <v>188</v>
      </c>
      <c r="F2684">
        <v>5210010105</v>
      </c>
      <c r="G2684" s="13">
        <v>156648</v>
      </c>
      <c r="I2684" t="s">
        <v>179</v>
      </c>
      <c r="J2684" t="s">
        <v>916</v>
      </c>
      <c r="K2684" t="s">
        <v>180</v>
      </c>
      <c r="L2684">
        <v>200037860</v>
      </c>
    </row>
    <row r="2685" spans="3:12">
      <c r="C2685">
        <v>2100300025</v>
      </c>
      <c r="D2685">
        <v>6426000</v>
      </c>
      <c r="E2685" t="s">
        <v>188</v>
      </c>
      <c r="F2685">
        <v>5210010105</v>
      </c>
      <c r="G2685" s="13">
        <v>84958</v>
      </c>
      <c r="I2685" t="s">
        <v>179</v>
      </c>
      <c r="J2685" t="s">
        <v>916</v>
      </c>
      <c r="K2685" t="s">
        <v>180</v>
      </c>
      <c r="L2685">
        <v>200037861</v>
      </c>
    </row>
    <row r="2686" spans="3:12">
      <c r="C2686">
        <v>2100300025</v>
      </c>
      <c r="D2686">
        <v>6426000</v>
      </c>
      <c r="E2686" t="s">
        <v>188</v>
      </c>
      <c r="F2686">
        <v>5210010105</v>
      </c>
      <c r="G2686" s="13">
        <v>41690</v>
      </c>
      <c r="I2686" t="s">
        <v>179</v>
      </c>
      <c r="J2686" t="s">
        <v>916</v>
      </c>
      <c r="K2686" t="s">
        <v>180</v>
      </c>
      <c r="L2686">
        <v>200037866</v>
      </c>
    </row>
    <row r="2687" spans="3:12">
      <c r="C2687">
        <v>2100300025</v>
      </c>
      <c r="D2687">
        <v>6426000</v>
      </c>
      <c r="E2687" t="s">
        <v>188</v>
      </c>
      <c r="F2687">
        <v>5210010105</v>
      </c>
      <c r="G2687" s="13">
        <v>20383.5</v>
      </c>
      <c r="I2687" t="s">
        <v>179</v>
      </c>
      <c r="J2687" t="s">
        <v>916</v>
      </c>
      <c r="K2687" t="s">
        <v>180</v>
      </c>
      <c r="L2687">
        <v>200037956</v>
      </c>
    </row>
    <row r="2688" spans="3:12">
      <c r="C2688">
        <v>2100300025</v>
      </c>
      <c r="D2688">
        <v>6426000</v>
      </c>
      <c r="E2688" t="s">
        <v>188</v>
      </c>
      <c r="F2688">
        <v>5210010105</v>
      </c>
      <c r="G2688" s="13">
        <v>30000</v>
      </c>
      <c r="I2688" t="s">
        <v>179</v>
      </c>
      <c r="J2688" t="s">
        <v>915</v>
      </c>
      <c r="K2688" t="s">
        <v>180</v>
      </c>
      <c r="L2688">
        <v>200040204</v>
      </c>
    </row>
    <row r="2689" spans="3:12">
      <c r="C2689">
        <v>2100300025</v>
      </c>
      <c r="D2689">
        <v>6426000</v>
      </c>
      <c r="E2689" t="s">
        <v>188</v>
      </c>
      <c r="F2689">
        <v>5210010105</v>
      </c>
      <c r="G2689" s="13">
        <v>25892</v>
      </c>
      <c r="I2689" t="s">
        <v>179</v>
      </c>
      <c r="J2689" t="s">
        <v>915</v>
      </c>
      <c r="K2689" t="s">
        <v>180</v>
      </c>
      <c r="L2689">
        <v>200038820</v>
      </c>
    </row>
    <row r="2690" spans="3:12">
      <c r="C2690">
        <v>2100300025</v>
      </c>
      <c r="D2690">
        <v>6426000</v>
      </c>
      <c r="E2690" t="s">
        <v>188</v>
      </c>
      <c r="F2690">
        <v>5210010105</v>
      </c>
      <c r="G2690">
        <v>480</v>
      </c>
      <c r="I2690" t="s">
        <v>179</v>
      </c>
      <c r="J2690" t="s">
        <v>915</v>
      </c>
      <c r="K2690" t="s">
        <v>180</v>
      </c>
      <c r="L2690">
        <v>200040210</v>
      </c>
    </row>
    <row r="2691" spans="3:12">
      <c r="C2691">
        <v>2100300025</v>
      </c>
      <c r="D2691">
        <v>6426000</v>
      </c>
      <c r="E2691" t="s">
        <v>188</v>
      </c>
      <c r="F2691">
        <v>5210010105</v>
      </c>
      <c r="G2691" s="13">
        <v>3944</v>
      </c>
      <c r="I2691" t="s">
        <v>179</v>
      </c>
      <c r="J2691" t="s">
        <v>915</v>
      </c>
      <c r="K2691" t="s">
        <v>180</v>
      </c>
      <c r="L2691">
        <v>200040211</v>
      </c>
    </row>
    <row r="2692" spans="3:12">
      <c r="C2692">
        <v>2100300025</v>
      </c>
      <c r="D2692">
        <v>6426000</v>
      </c>
      <c r="E2692" t="s">
        <v>188</v>
      </c>
      <c r="F2692">
        <v>5210010105</v>
      </c>
      <c r="G2692" s="13">
        <v>1635</v>
      </c>
      <c r="I2692" t="s">
        <v>179</v>
      </c>
      <c r="J2692" t="s">
        <v>915</v>
      </c>
      <c r="K2692" t="s">
        <v>180</v>
      </c>
      <c r="L2692">
        <v>200040212</v>
      </c>
    </row>
    <row r="2693" spans="3:12">
      <c r="C2693">
        <v>2100300025</v>
      </c>
      <c r="D2693">
        <v>6426000</v>
      </c>
      <c r="E2693" t="s">
        <v>188</v>
      </c>
      <c r="F2693">
        <v>5210010105</v>
      </c>
      <c r="G2693" s="13">
        <v>5000</v>
      </c>
      <c r="I2693" t="s">
        <v>179</v>
      </c>
      <c r="J2693" t="s">
        <v>823</v>
      </c>
      <c r="K2693" t="s">
        <v>180</v>
      </c>
      <c r="L2693">
        <v>200037914</v>
      </c>
    </row>
    <row r="2694" spans="3:12">
      <c r="C2694">
        <v>2100300025</v>
      </c>
      <c r="D2694">
        <v>6426000</v>
      </c>
      <c r="E2694" t="s">
        <v>188</v>
      </c>
      <c r="F2694">
        <v>5210010105</v>
      </c>
      <c r="G2694" s="13">
        <v>44500</v>
      </c>
      <c r="I2694" t="s">
        <v>179</v>
      </c>
      <c r="J2694" t="s">
        <v>823</v>
      </c>
      <c r="K2694" t="s">
        <v>180</v>
      </c>
      <c r="L2694">
        <v>200037917</v>
      </c>
    </row>
    <row r="2695" spans="3:12">
      <c r="C2695">
        <v>2100300025</v>
      </c>
      <c r="D2695">
        <v>6426000</v>
      </c>
      <c r="E2695" t="s">
        <v>188</v>
      </c>
      <c r="F2695">
        <v>5210010105</v>
      </c>
      <c r="G2695" s="13">
        <v>56000</v>
      </c>
      <c r="I2695" t="s">
        <v>179</v>
      </c>
      <c r="J2695" t="s">
        <v>823</v>
      </c>
      <c r="K2695" t="s">
        <v>180</v>
      </c>
      <c r="L2695">
        <v>200037918</v>
      </c>
    </row>
    <row r="2696" spans="3:12">
      <c r="C2696">
        <v>2100300025</v>
      </c>
      <c r="D2696">
        <v>6426000</v>
      </c>
      <c r="E2696" t="s">
        <v>188</v>
      </c>
      <c r="F2696">
        <v>5210010105</v>
      </c>
      <c r="G2696">
        <v>450</v>
      </c>
      <c r="I2696" t="s">
        <v>179</v>
      </c>
      <c r="J2696" t="s">
        <v>823</v>
      </c>
      <c r="K2696" t="s">
        <v>180</v>
      </c>
      <c r="L2696">
        <v>200037919</v>
      </c>
    </row>
    <row r="2697" spans="3:12">
      <c r="C2697">
        <v>2100300025</v>
      </c>
      <c r="D2697">
        <v>6426000</v>
      </c>
      <c r="E2697" t="s">
        <v>188</v>
      </c>
      <c r="F2697">
        <v>5210010105</v>
      </c>
      <c r="G2697" s="13">
        <v>441763.51</v>
      </c>
      <c r="I2697" t="s">
        <v>179</v>
      </c>
      <c r="J2697" t="s">
        <v>823</v>
      </c>
      <c r="K2697" t="s">
        <v>180</v>
      </c>
      <c r="L2697">
        <v>200037824</v>
      </c>
    </row>
    <row r="2698" spans="3:12">
      <c r="C2698">
        <v>2100300025</v>
      </c>
      <c r="D2698">
        <v>6426000</v>
      </c>
      <c r="E2698" t="s">
        <v>188</v>
      </c>
      <c r="F2698">
        <v>5210010105</v>
      </c>
      <c r="G2698" s="13">
        <v>225920</v>
      </c>
      <c r="I2698" t="s">
        <v>179</v>
      </c>
      <c r="J2698" t="s">
        <v>917</v>
      </c>
      <c r="K2698" t="s">
        <v>180</v>
      </c>
      <c r="L2698">
        <v>200039692</v>
      </c>
    </row>
    <row r="2699" spans="3:12">
      <c r="C2699">
        <v>2100300025</v>
      </c>
      <c r="D2699">
        <v>6426000</v>
      </c>
      <c r="E2699" t="s">
        <v>188</v>
      </c>
      <c r="F2699">
        <v>5210010105</v>
      </c>
      <c r="G2699" s="13">
        <v>12397</v>
      </c>
      <c r="I2699" t="s">
        <v>179</v>
      </c>
      <c r="J2699" t="s">
        <v>917</v>
      </c>
      <c r="K2699" t="s">
        <v>180</v>
      </c>
      <c r="L2699">
        <v>200039324</v>
      </c>
    </row>
    <row r="2700" spans="3:12">
      <c r="C2700">
        <v>2100300025</v>
      </c>
      <c r="D2700">
        <v>6426000</v>
      </c>
      <c r="E2700" t="s">
        <v>188</v>
      </c>
      <c r="F2700">
        <v>5210010105</v>
      </c>
      <c r="G2700" s="13">
        <v>1060</v>
      </c>
      <c r="I2700" t="s">
        <v>179</v>
      </c>
      <c r="J2700" t="s">
        <v>918</v>
      </c>
      <c r="K2700" t="s">
        <v>180</v>
      </c>
      <c r="L2700">
        <v>200042990</v>
      </c>
    </row>
    <row r="2701" spans="3:12">
      <c r="C2701">
        <v>2100300025</v>
      </c>
      <c r="D2701">
        <v>6426000</v>
      </c>
      <c r="E2701" t="s">
        <v>188</v>
      </c>
      <c r="F2701">
        <v>5210010105</v>
      </c>
      <c r="G2701" s="13">
        <v>1284</v>
      </c>
      <c r="I2701" t="s">
        <v>179</v>
      </c>
      <c r="J2701" t="s">
        <v>918</v>
      </c>
      <c r="K2701" t="s">
        <v>180</v>
      </c>
      <c r="L2701">
        <v>200042597</v>
      </c>
    </row>
    <row r="2702" spans="3:12">
      <c r="C2702">
        <v>2100300025</v>
      </c>
      <c r="D2702">
        <v>6426000</v>
      </c>
      <c r="E2702" t="s">
        <v>188</v>
      </c>
      <c r="F2702">
        <v>5210010105</v>
      </c>
      <c r="G2702">
        <v>240</v>
      </c>
      <c r="I2702" t="s">
        <v>179</v>
      </c>
      <c r="J2702" t="s">
        <v>918</v>
      </c>
      <c r="K2702" t="s">
        <v>180</v>
      </c>
      <c r="L2702">
        <v>200043238</v>
      </c>
    </row>
    <row r="2703" spans="3:12">
      <c r="C2703">
        <v>2100300025</v>
      </c>
      <c r="D2703">
        <v>6426000</v>
      </c>
      <c r="E2703" t="s">
        <v>188</v>
      </c>
      <c r="F2703">
        <v>5210010105</v>
      </c>
      <c r="G2703" s="13">
        <v>1600</v>
      </c>
      <c r="I2703" t="s">
        <v>179</v>
      </c>
      <c r="J2703" t="s">
        <v>918</v>
      </c>
      <c r="K2703" t="s">
        <v>180</v>
      </c>
      <c r="L2703">
        <v>200043239</v>
      </c>
    </row>
    <row r="2704" spans="3:12">
      <c r="C2704">
        <v>2100300025</v>
      </c>
      <c r="D2704">
        <v>6426000</v>
      </c>
      <c r="E2704" t="s">
        <v>188</v>
      </c>
      <c r="F2704">
        <v>5210010105</v>
      </c>
      <c r="G2704" s="13">
        <v>3696</v>
      </c>
      <c r="I2704" t="s">
        <v>179</v>
      </c>
      <c r="J2704" t="s">
        <v>918</v>
      </c>
      <c r="K2704" t="s">
        <v>180</v>
      </c>
      <c r="L2704">
        <v>200043240</v>
      </c>
    </row>
    <row r="2705" spans="3:12">
      <c r="C2705">
        <v>2100300025</v>
      </c>
      <c r="D2705">
        <v>6426000</v>
      </c>
      <c r="E2705" t="s">
        <v>188</v>
      </c>
      <c r="F2705">
        <v>5210010105</v>
      </c>
      <c r="G2705">
        <v>180</v>
      </c>
      <c r="I2705" t="s">
        <v>179</v>
      </c>
      <c r="J2705" t="s">
        <v>918</v>
      </c>
      <c r="K2705" t="s">
        <v>180</v>
      </c>
      <c r="L2705">
        <v>200043241</v>
      </c>
    </row>
    <row r="2706" spans="3:12">
      <c r="C2706">
        <v>2100300025</v>
      </c>
      <c r="D2706">
        <v>6426000</v>
      </c>
      <c r="E2706" t="s">
        <v>188</v>
      </c>
      <c r="F2706">
        <v>5210010105</v>
      </c>
      <c r="G2706">
        <v>340</v>
      </c>
      <c r="I2706" t="s">
        <v>179</v>
      </c>
      <c r="J2706" t="s">
        <v>918</v>
      </c>
      <c r="K2706" t="s">
        <v>180</v>
      </c>
      <c r="L2706">
        <v>200043242</v>
      </c>
    </row>
    <row r="2707" spans="3:12">
      <c r="C2707">
        <v>2100300025</v>
      </c>
      <c r="D2707">
        <v>6426000</v>
      </c>
      <c r="E2707" t="s">
        <v>188</v>
      </c>
      <c r="F2707">
        <v>5210010105</v>
      </c>
      <c r="G2707" s="13">
        <v>25000</v>
      </c>
      <c r="I2707" t="s">
        <v>179</v>
      </c>
      <c r="J2707" t="s">
        <v>824</v>
      </c>
      <c r="K2707" t="s">
        <v>180</v>
      </c>
      <c r="L2707">
        <v>200042627</v>
      </c>
    </row>
    <row r="2708" spans="3:12">
      <c r="C2708">
        <v>2100300025</v>
      </c>
      <c r="D2708">
        <v>6426000</v>
      </c>
      <c r="E2708" t="s">
        <v>188</v>
      </c>
      <c r="F2708">
        <v>5210010105</v>
      </c>
      <c r="G2708" s="13">
        <v>4400</v>
      </c>
      <c r="I2708" t="s">
        <v>179</v>
      </c>
      <c r="J2708" t="s">
        <v>824</v>
      </c>
      <c r="K2708" t="s">
        <v>180</v>
      </c>
      <c r="L2708">
        <v>200042629</v>
      </c>
    </row>
    <row r="2709" spans="3:12">
      <c r="C2709">
        <v>2100300025</v>
      </c>
      <c r="D2709">
        <v>6426000</v>
      </c>
      <c r="E2709" t="s">
        <v>188</v>
      </c>
      <c r="F2709">
        <v>5210010105</v>
      </c>
      <c r="G2709" s="13">
        <v>1800</v>
      </c>
      <c r="I2709" t="s">
        <v>179</v>
      </c>
      <c r="J2709" t="s">
        <v>824</v>
      </c>
      <c r="K2709" t="s">
        <v>180</v>
      </c>
      <c r="L2709">
        <v>200042553</v>
      </c>
    </row>
    <row r="2710" spans="3:12">
      <c r="C2710">
        <v>2100300025</v>
      </c>
      <c r="D2710">
        <v>6426000</v>
      </c>
      <c r="E2710" t="s">
        <v>188</v>
      </c>
      <c r="F2710">
        <v>5210010105</v>
      </c>
      <c r="G2710" s="13">
        <v>3210</v>
      </c>
      <c r="I2710" t="s">
        <v>179</v>
      </c>
      <c r="J2710" t="s">
        <v>824</v>
      </c>
      <c r="K2710" t="s">
        <v>180</v>
      </c>
      <c r="L2710">
        <v>200042554</v>
      </c>
    </row>
    <row r="2711" spans="3:12">
      <c r="C2711">
        <v>2100300025</v>
      </c>
      <c r="D2711">
        <v>6426000</v>
      </c>
      <c r="E2711" t="s">
        <v>188</v>
      </c>
      <c r="F2711">
        <v>5210010105</v>
      </c>
      <c r="G2711" s="13">
        <v>18750</v>
      </c>
      <c r="I2711" t="s">
        <v>179</v>
      </c>
      <c r="J2711" t="s">
        <v>824</v>
      </c>
      <c r="K2711" t="s">
        <v>180</v>
      </c>
      <c r="L2711">
        <v>200042555</v>
      </c>
    </row>
    <row r="2712" spans="3:12">
      <c r="C2712">
        <v>2100300025</v>
      </c>
      <c r="D2712">
        <v>6426000</v>
      </c>
      <c r="E2712" t="s">
        <v>188</v>
      </c>
      <c r="F2712">
        <v>5210010105</v>
      </c>
      <c r="G2712" s="13">
        <v>2675</v>
      </c>
      <c r="I2712" t="s">
        <v>179</v>
      </c>
      <c r="J2712" t="s">
        <v>919</v>
      </c>
      <c r="K2712" t="s">
        <v>180</v>
      </c>
      <c r="L2712">
        <v>200036908</v>
      </c>
    </row>
    <row r="2713" spans="3:12">
      <c r="C2713">
        <v>2100300025</v>
      </c>
      <c r="D2713">
        <v>6426000</v>
      </c>
      <c r="E2713" t="s">
        <v>188</v>
      </c>
      <c r="F2713">
        <v>5210010105</v>
      </c>
      <c r="G2713" s="13">
        <v>8253.11</v>
      </c>
      <c r="I2713" t="s">
        <v>179</v>
      </c>
      <c r="J2713" t="s">
        <v>919</v>
      </c>
      <c r="K2713" t="s">
        <v>180</v>
      </c>
      <c r="L2713">
        <v>200036833</v>
      </c>
    </row>
    <row r="2714" spans="3:12">
      <c r="C2714">
        <v>2100300025</v>
      </c>
      <c r="D2714">
        <v>6426000</v>
      </c>
      <c r="E2714" t="s">
        <v>188</v>
      </c>
      <c r="F2714">
        <v>5210010105</v>
      </c>
      <c r="G2714" s="13">
        <v>2506.8000000000002</v>
      </c>
      <c r="I2714" t="s">
        <v>179</v>
      </c>
      <c r="J2714" t="s">
        <v>919</v>
      </c>
      <c r="K2714" t="s">
        <v>180</v>
      </c>
      <c r="L2714">
        <v>200036359</v>
      </c>
    </row>
    <row r="2715" spans="3:12">
      <c r="C2715">
        <v>2100300025</v>
      </c>
      <c r="D2715">
        <v>6426000</v>
      </c>
      <c r="E2715" t="s">
        <v>188</v>
      </c>
      <c r="F2715">
        <v>5210010105</v>
      </c>
      <c r="G2715" s="13">
        <v>4000</v>
      </c>
      <c r="I2715" t="s">
        <v>179</v>
      </c>
      <c r="J2715" t="s">
        <v>920</v>
      </c>
      <c r="K2715" t="s">
        <v>180</v>
      </c>
      <c r="L2715">
        <v>200039414</v>
      </c>
    </row>
    <row r="2716" spans="3:12">
      <c r="C2716">
        <v>2100300025</v>
      </c>
      <c r="D2716">
        <v>6426000</v>
      </c>
      <c r="E2716" t="s">
        <v>188</v>
      </c>
      <c r="F2716">
        <v>5210010105</v>
      </c>
      <c r="G2716">
        <v>800</v>
      </c>
      <c r="I2716" t="s">
        <v>179</v>
      </c>
      <c r="J2716" t="s">
        <v>920</v>
      </c>
      <c r="K2716" t="s">
        <v>180</v>
      </c>
      <c r="L2716">
        <v>200038971</v>
      </c>
    </row>
    <row r="2717" spans="3:12">
      <c r="C2717">
        <v>2100300025</v>
      </c>
      <c r="D2717">
        <v>6426000</v>
      </c>
      <c r="E2717" t="s">
        <v>188</v>
      </c>
      <c r="F2717">
        <v>5210010105</v>
      </c>
      <c r="G2717">
        <v>50</v>
      </c>
      <c r="I2717" t="s">
        <v>179</v>
      </c>
      <c r="J2717" t="s">
        <v>920</v>
      </c>
      <c r="K2717" t="s">
        <v>180</v>
      </c>
      <c r="L2717">
        <v>200038972</v>
      </c>
    </row>
    <row r="2718" spans="3:12">
      <c r="C2718">
        <v>2100300025</v>
      </c>
      <c r="D2718">
        <v>6426000</v>
      </c>
      <c r="E2718" t="s">
        <v>188</v>
      </c>
      <c r="F2718">
        <v>5210010105</v>
      </c>
      <c r="G2718" s="13">
        <v>24000</v>
      </c>
      <c r="I2718" t="s">
        <v>179</v>
      </c>
      <c r="J2718" t="s">
        <v>920</v>
      </c>
      <c r="K2718" t="s">
        <v>180</v>
      </c>
      <c r="L2718">
        <v>200039419</v>
      </c>
    </row>
    <row r="2719" spans="3:12">
      <c r="C2719">
        <v>2100300025</v>
      </c>
      <c r="D2719">
        <v>6426000</v>
      </c>
      <c r="E2719" t="s">
        <v>188</v>
      </c>
      <c r="F2719">
        <v>5210010105</v>
      </c>
      <c r="G2719" s="13">
        <v>28000</v>
      </c>
      <c r="I2719" t="s">
        <v>179</v>
      </c>
      <c r="J2719" t="s">
        <v>920</v>
      </c>
      <c r="K2719" t="s">
        <v>180</v>
      </c>
      <c r="L2719">
        <v>200036515</v>
      </c>
    </row>
    <row r="2720" spans="3:12">
      <c r="C2720">
        <v>2100300025</v>
      </c>
      <c r="D2720">
        <v>6426000</v>
      </c>
      <c r="E2720" t="s">
        <v>188</v>
      </c>
      <c r="F2720">
        <v>5210010105</v>
      </c>
      <c r="G2720" s="13">
        <v>1590</v>
      </c>
      <c r="I2720" t="s">
        <v>179</v>
      </c>
      <c r="J2720" t="s">
        <v>920</v>
      </c>
      <c r="K2720" t="s">
        <v>180</v>
      </c>
      <c r="L2720">
        <v>200039422</v>
      </c>
    </row>
    <row r="2721" spans="3:12">
      <c r="C2721">
        <v>2100300025</v>
      </c>
      <c r="D2721">
        <v>6426000</v>
      </c>
      <c r="E2721" t="s">
        <v>188</v>
      </c>
      <c r="F2721">
        <v>5210010105</v>
      </c>
      <c r="G2721">
        <v>372</v>
      </c>
      <c r="I2721" t="s">
        <v>179</v>
      </c>
      <c r="J2721" t="s">
        <v>920</v>
      </c>
      <c r="K2721" t="s">
        <v>180</v>
      </c>
      <c r="L2721">
        <v>200039424</v>
      </c>
    </row>
    <row r="2722" spans="3:12">
      <c r="C2722">
        <v>2100300025</v>
      </c>
      <c r="D2722">
        <v>6426000</v>
      </c>
      <c r="E2722" t="s">
        <v>188</v>
      </c>
      <c r="F2722">
        <v>5210010105</v>
      </c>
      <c r="G2722">
        <v>250</v>
      </c>
      <c r="I2722" t="s">
        <v>179</v>
      </c>
      <c r="J2722" t="s">
        <v>920</v>
      </c>
      <c r="K2722" t="s">
        <v>180</v>
      </c>
      <c r="L2722">
        <v>200039425</v>
      </c>
    </row>
    <row r="2723" spans="3:12">
      <c r="C2723">
        <v>2100300025</v>
      </c>
      <c r="D2723">
        <v>6426000</v>
      </c>
      <c r="E2723" t="s">
        <v>188</v>
      </c>
      <c r="F2723">
        <v>5210010105</v>
      </c>
      <c r="G2723" s="13">
        <v>20000</v>
      </c>
      <c r="I2723" t="s">
        <v>179</v>
      </c>
      <c r="J2723" t="s">
        <v>920</v>
      </c>
      <c r="K2723" t="s">
        <v>180</v>
      </c>
      <c r="L2723">
        <v>200037263</v>
      </c>
    </row>
    <row r="2724" spans="3:12">
      <c r="C2724">
        <v>2100300025</v>
      </c>
      <c r="D2724">
        <v>6426000</v>
      </c>
      <c r="E2724" t="s">
        <v>188</v>
      </c>
      <c r="F2724">
        <v>5210010105</v>
      </c>
      <c r="G2724">
        <v>405</v>
      </c>
      <c r="I2724" t="s">
        <v>179</v>
      </c>
      <c r="J2724" t="s">
        <v>920</v>
      </c>
      <c r="K2724" t="s">
        <v>180</v>
      </c>
      <c r="L2724">
        <v>200037264</v>
      </c>
    </row>
    <row r="2725" spans="3:12">
      <c r="C2725">
        <v>2100300025</v>
      </c>
      <c r="D2725">
        <v>6426000</v>
      </c>
      <c r="E2725" t="s">
        <v>188</v>
      </c>
      <c r="F2725">
        <v>5210010105</v>
      </c>
      <c r="G2725" s="13">
        <v>59700.47</v>
      </c>
      <c r="I2725" t="s">
        <v>179</v>
      </c>
      <c r="J2725" t="s">
        <v>825</v>
      </c>
      <c r="K2725" t="s">
        <v>180</v>
      </c>
      <c r="L2725">
        <v>200041674</v>
      </c>
    </row>
    <row r="2726" spans="3:12">
      <c r="C2726">
        <v>2100300025</v>
      </c>
      <c r="D2726">
        <v>6426000</v>
      </c>
      <c r="E2726" t="s">
        <v>188</v>
      </c>
      <c r="F2726">
        <v>5210010105</v>
      </c>
      <c r="G2726" s="13">
        <v>131929.93</v>
      </c>
      <c r="I2726" t="s">
        <v>179</v>
      </c>
      <c r="J2726" t="s">
        <v>825</v>
      </c>
      <c r="K2726" t="s">
        <v>180</v>
      </c>
      <c r="L2726">
        <v>200040867</v>
      </c>
    </row>
    <row r="2727" spans="3:12">
      <c r="C2727">
        <v>2100300025</v>
      </c>
      <c r="D2727">
        <v>6426000</v>
      </c>
      <c r="E2727" t="s">
        <v>188</v>
      </c>
      <c r="F2727">
        <v>5210010105</v>
      </c>
      <c r="G2727">
        <v>551.04999999999995</v>
      </c>
      <c r="I2727" t="s">
        <v>179</v>
      </c>
      <c r="J2727" t="s">
        <v>825</v>
      </c>
      <c r="K2727" t="s">
        <v>180</v>
      </c>
      <c r="L2727">
        <v>200041743</v>
      </c>
    </row>
    <row r="2728" spans="3:12">
      <c r="C2728">
        <v>2100300025</v>
      </c>
      <c r="D2728">
        <v>6426000</v>
      </c>
      <c r="E2728" t="s">
        <v>188</v>
      </c>
      <c r="F2728">
        <v>5210010105</v>
      </c>
      <c r="G2728">
        <v>780</v>
      </c>
      <c r="I2728" t="s">
        <v>179</v>
      </c>
      <c r="J2728" t="s">
        <v>825</v>
      </c>
      <c r="K2728" t="s">
        <v>180</v>
      </c>
      <c r="L2728">
        <v>200041699</v>
      </c>
    </row>
    <row r="2729" spans="3:12">
      <c r="C2729">
        <v>2100300025</v>
      </c>
      <c r="D2729">
        <v>6426000</v>
      </c>
      <c r="E2729" t="s">
        <v>188</v>
      </c>
      <c r="F2729">
        <v>5210010105</v>
      </c>
      <c r="G2729" s="13">
        <v>2000</v>
      </c>
      <c r="I2729" t="s">
        <v>179</v>
      </c>
      <c r="J2729" t="s">
        <v>825</v>
      </c>
      <c r="K2729" t="s">
        <v>180</v>
      </c>
      <c r="L2729">
        <v>200041744</v>
      </c>
    </row>
    <row r="2730" spans="3:12">
      <c r="C2730">
        <v>2100300025</v>
      </c>
      <c r="D2730">
        <v>6426000</v>
      </c>
      <c r="E2730" t="s">
        <v>188</v>
      </c>
      <c r="F2730">
        <v>5210010105</v>
      </c>
      <c r="G2730">
        <v>180</v>
      </c>
      <c r="I2730" t="s">
        <v>179</v>
      </c>
      <c r="J2730" t="s">
        <v>825</v>
      </c>
      <c r="K2730" t="s">
        <v>180</v>
      </c>
      <c r="L2730">
        <v>200036524</v>
      </c>
    </row>
    <row r="2731" spans="3:12">
      <c r="C2731">
        <v>2100300025</v>
      </c>
      <c r="D2731">
        <v>6426000</v>
      </c>
      <c r="E2731" t="s">
        <v>188</v>
      </c>
      <c r="F2731">
        <v>5210010105</v>
      </c>
      <c r="G2731" s="13">
        <v>5550</v>
      </c>
      <c r="I2731" t="s">
        <v>179</v>
      </c>
      <c r="J2731" t="s">
        <v>825</v>
      </c>
      <c r="K2731" t="s">
        <v>180</v>
      </c>
      <c r="L2731">
        <v>200036525</v>
      </c>
    </row>
    <row r="2732" spans="3:12">
      <c r="C2732">
        <v>2100300025</v>
      </c>
      <c r="D2732">
        <v>6426000</v>
      </c>
      <c r="E2732" t="s">
        <v>188</v>
      </c>
      <c r="F2732">
        <v>5210010105</v>
      </c>
      <c r="G2732" s="13">
        <v>1277910</v>
      </c>
      <c r="I2732" t="s">
        <v>179</v>
      </c>
      <c r="J2732" t="s">
        <v>825</v>
      </c>
      <c r="K2732" t="s">
        <v>180</v>
      </c>
      <c r="L2732">
        <v>200041640</v>
      </c>
    </row>
    <row r="2733" spans="3:12">
      <c r="C2733">
        <v>2100300025</v>
      </c>
      <c r="D2733">
        <v>6426000</v>
      </c>
      <c r="E2733" t="s">
        <v>188</v>
      </c>
      <c r="F2733">
        <v>5210010105</v>
      </c>
      <c r="G2733" s="13">
        <v>36482</v>
      </c>
      <c r="I2733" t="s">
        <v>179</v>
      </c>
      <c r="J2733" t="s">
        <v>825</v>
      </c>
      <c r="K2733" t="s">
        <v>180</v>
      </c>
      <c r="L2733">
        <v>200041641</v>
      </c>
    </row>
    <row r="2734" spans="3:12">
      <c r="C2734">
        <v>2100300025</v>
      </c>
      <c r="D2734">
        <v>6426000</v>
      </c>
      <c r="E2734" t="s">
        <v>188</v>
      </c>
      <c r="F2734">
        <v>5210010105</v>
      </c>
      <c r="G2734" s="13">
        <v>17508</v>
      </c>
      <c r="I2734" t="s">
        <v>179</v>
      </c>
      <c r="J2734" t="s">
        <v>825</v>
      </c>
      <c r="K2734" t="s">
        <v>180</v>
      </c>
      <c r="L2734">
        <v>200041642</v>
      </c>
    </row>
    <row r="2735" spans="3:12">
      <c r="C2735">
        <v>2100300025</v>
      </c>
      <c r="D2735">
        <v>6426000</v>
      </c>
      <c r="E2735" t="s">
        <v>188</v>
      </c>
      <c r="F2735">
        <v>5210010105</v>
      </c>
      <c r="G2735" s="13">
        <v>427893</v>
      </c>
      <c r="I2735" t="s">
        <v>179</v>
      </c>
      <c r="J2735" t="s">
        <v>825</v>
      </c>
      <c r="K2735" t="s">
        <v>180</v>
      </c>
      <c r="L2735">
        <v>200040848</v>
      </c>
    </row>
    <row r="2736" spans="3:12">
      <c r="C2736">
        <v>2100300025</v>
      </c>
      <c r="D2736">
        <v>6426000</v>
      </c>
      <c r="E2736" t="s">
        <v>188</v>
      </c>
      <c r="F2736">
        <v>5210010105</v>
      </c>
      <c r="G2736" s="13">
        <v>12840</v>
      </c>
      <c r="I2736" t="s">
        <v>179</v>
      </c>
      <c r="J2736" t="s">
        <v>825</v>
      </c>
      <c r="K2736" t="s">
        <v>180</v>
      </c>
      <c r="L2736">
        <v>200034167</v>
      </c>
    </row>
    <row r="2737" spans="3:12">
      <c r="C2737">
        <v>2100300025</v>
      </c>
      <c r="D2737">
        <v>6426000</v>
      </c>
      <c r="E2737" t="s">
        <v>188</v>
      </c>
      <c r="F2737">
        <v>5210010105</v>
      </c>
      <c r="G2737" s="13">
        <v>13880</v>
      </c>
      <c r="I2737" t="s">
        <v>179</v>
      </c>
      <c r="J2737" t="s">
        <v>825</v>
      </c>
      <c r="K2737" t="s">
        <v>180</v>
      </c>
      <c r="L2737">
        <v>200041659</v>
      </c>
    </row>
    <row r="2738" spans="3:12">
      <c r="C2738">
        <v>2100300025</v>
      </c>
      <c r="D2738">
        <v>6426000</v>
      </c>
      <c r="E2738" t="s">
        <v>188</v>
      </c>
      <c r="F2738">
        <v>5210010105</v>
      </c>
      <c r="G2738" s="13">
        <v>4530</v>
      </c>
      <c r="I2738" t="s">
        <v>179</v>
      </c>
      <c r="J2738" t="s">
        <v>825</v>
      </c>
      <c r="K2738" t="s">
        <v>180</v>
      </c>
      <c r="L2738">
        <v>200041660</v>
      </c>
    </row>
    <row r="2739" spans="3:12">
      <c r="C2739">
        <v>2100300025</v>
      </c>
      <c r="D2739">
        <v>6426000</v>
      </c>
      <c r="E2739" t="s">
        <v>188</v>
      </c>
      <c r="F2739">
        <v>5210010105</v>
      </c>
      <c r="G2739" s="13">
        <v>43200</v>
      </c>
      <c r="I2739" t="s">
        <v>179</v>
      </c>
      <c r="J2739" t="s">
        <v>799</v>
      </c>
      <c r="K2739" t="s">
        <v>180</v>
      </c>
      <c r="L2739">
        <v>200034766</v>
      </c>
    </row>
    <row r="2740" spans="3:12">
      <c r="C2740">
        <v>2100300025</v>
      </c>
      <c r="D2740">
        <v>6426000</v>
      </c>
      <c r="E2740" t="s">
        <v>188</v>
      </c>
      <c r="F2740">
        <v>5210010105</v>
      </c>
      <c r="G2740" s="13">
        <v>2000</v>
      </c>
      <c r="I2740" t="s">
        <v>179</v>
      </c>
      <c r="J2740" t="s">
        <v>799</v>
      </c>
      <c r="K2740" t="s">
        <v>180</v>
      </c>
      <c r="L2740">
        <v>200034767</v>
      </c>
    </row>
    <row r="2741" spans="3:12">
      <c r="C2741">
        <v>2100300025</v>
      </c>
      <c r="D2741">
        <v>6426000</v>
      </c>
      <c r="E2741" t="s">
        <v>188</v>
      </c>
      <c r="F2741">
        <v>5210010105</v>
      </c>
      <c r="G2741" s="13">
        <v>2500</v>
      </c>
      <c r="I2741" t="s">
        <v>179</v>
      </c>
      <c r="J2741" t="s">
        <v>799</v>
      </c>
      <c r="K2741" t="s">
        <v>180</v>
      </c>
      <c r="L2741">
        <v>200034768</v>
      </c>
    </row>
    <row r="2742" spans="3:12">
      <c r="C2742">
        <v>2100300025</v>
      </c>
      <c r="D2742">
        <v>6426000</v>
      </c>
      <c r="E2742" t="s">
        <v>188</v>
      </c>
      <c r="F2742">
        <v>5210010105</v>
      </c>
      <c r="G2742" s="13">
        <v>-1600</v>
      </c>
      <c r="I2742" t="s">
        <v>179</v>
      </c>
      <c r="J2742" t="s">
        <v>801</v>
      </c>
      <c r="K2742" t="s">
        <v>180</v>
      </c>
      <c r="L2742">
        <v>200049401</v>
      </c>
    </row>
    <row r="2743" spans="3:12">
      <c r="C2743">
        <v>2100300025</v>
      </c>
      <c r="D2743">
        <v>6426000</v>
      </c>
      <c r="E2743" t="s">
        <v>188</v>
      </c>
      <c r="F2743">
        <v>5210010105</v>
      </c>
      <c r="G2743" s="13">
        <v>-8996</v>
      </c>
      <c r="I2743" t="s">
        <v>179</v>
      </c>
      <c r="J2743" t="s">
        <v>801</v>
      </c>
      <c r="K2743" t="s">
        <v>180</v>
      </c>
      <c r="L2743">
        <v>200048515</v>
      </c>
    </row>
    <row r="2744" spans="3:12">
      <c r="C2744">
        <v>2100300025</v>
      </c>
      <c r="D2744">
        <v>6426000</v>
      </c>
      <c r="E2744" t="s">
        <v>188</v>
      </c>
      <c r="F2744">
        <v>5210010105</v>
      </c>
      <c r="G2744" s="13">
        <v>10800</v>
      </c>
      <c r="I2744" t="s">
        <v>179</v>
      </c>
      <c r="J2744" t="s">
        <v>921</v>
      </c>
      <c r="K2744" t="s">
        <v>180</v>
      </c>
      <c r="L2744">
        <v>200046255</v>
      </c>
    </row>
    <row r="2745" spans="3:12">
      <c r="C2745">
        <v>2100300025</v>
      </c>
      <c r="D2745">
        <v>6426000</v>
      </c>
      <c r="E2745" t="s">
        <v>188</v>
      </c>
      <c r="F2745">
        <v>5210010105</v>
      </c>
      <c r="G2745" s="13">
        <v>50000</v>
      </c>
      <c r="I2745" t="s">
        <v>179</v>
      </c>
      <c r="J2745" t="s">
        <v>922</v>
      </c>
      <c r="K2745" t="s">
        <v>180</v>
      </c>
      <c r="L2745">
        <v>200049181</v>
      </c>
    </row>
    <row r="2746" spans="3:12">
      <c r="C2746">
        <v>2100300025</v>
      </c>
      <c r="D2746">
        <v>6426000</v>
      </c>
      <c r="E2746" t="s">
        <v>188</v>
      </c>
      <c r="F2746">
        <v>5210010105</v>
      </c>
      <c r="G2746" s="13">
        <v>199999</v>
      </c>
      <c r="I2746" t="s">
        <v>179</v>
      </c>
      <c r="J2746" t="s">
        <v>922</v>
      </c>
      <c r="K2746" t="s">
        <v>180</v>
      </c>
      <c r="L2746">
        <v>200047549</v>
      </c>
    </row>
    <row r="2747" spans="3:12">
      <c r="C2747">
        <v>2100300025</v>
      </c>
      <c r="D2747">
        <v>6426000</v>
      </c>
      <c r="E2747" t="s">
        <v>188</v>
      </c>
      <c r="F2747">
        <v>5210010105</v>
      </c>
      <c r="G2747" s="13">
        <v>10212.1</v>
      </c>
      <c r="I2747" t="s">
        <v>179</v>
      </c>
      <c r="J2747" t="s">
        <v>922</v>
      </c>
      <c r="K2747" t="s">
        <v>180</v>
      </c>
      <c r="L2747">
        <v>200048094</v>
      </c>
    </row>
    <row r="2748" spans="3:12">
      <c r="C2748">
        <v>2100300025</v>
      </c>
      <c r="D2748">
        <v>6426000</v>
      </c>
      <c r="E2748" t="s">
        <v>188</v>
      </c>
      <c r="F2748">
        <v>5210010105</v>
      </c>
      <c r="G2748" s="13">
        <v>2900</v>
      </c>
      <c r="I2748" t="s">
        <v>179</v>
      </c>
      <c r="J2748" t="s">
        <v>828</v>
      </c>
      <c r="K2748" t="s">
        <v>180</v>
      </c>
      <c r="L2748">
        <v>200044962</v>
      </c>
    </row>
    <row r="2749" spans="3:12">
      <c r="C2749">
        <v>2100300025</v>
      </c>
      <c r="D2749">
        <v>6426000</v>
      </c>
      <c r="E2749" t="s">
        <v>188</v>
      </c>
      <c r="F2749">
        <v>5210010105</v>
      </c>
      <c r="G2749" s="13">
        <v>25000</v>
      </c>
      <c r="I2749" t="s">
        <v>179</v>
      </c>
      <c r="J2749" t="s">
        <v>828</v>
      </c>
      <c r="K2749" t="s">
        <v>180</v>
      </c>
      <c r="L2749">
        <v>200044965</v>
      </c>
    </row>
    <row r="2750" spans="3:12">
      <c r="C2750">
        <v>2100300025</v>
      </c>
      <c r="D2750">
        <v>6426000</v>
      </c>
      <c r="E2750" t="s">
        <v>188</v>
      </c>
      <c r="F2750">
        <v>5210010105</v>
      </c>
      <c r="G2750" s="13">
        <v>2000</v>
      </c>
      <c r="I2750" t="s">
        <v>179</v>
      </c>
      <c r="J2750" t="s">
        <v>828</v>
      </c>
      <c r="K2750" t="s">
        <v>180</v>
      </c>
      <c r="L2750">
        <v>200044966</v>
      </c>
    </row>
    <row r="2751" spans="3:12">
      <c r="C2751">
        <v>2100300025</v>
      </c>
      <c r="D2751">
        <v>6426000</v>
      </c>
      <c r="E2751" t="s">
        <v>188</v>
      </c>
      <c r="F2751">
        <v>5210010105</v>
      </c>
      <c r="G2751" s="13">
        <v>5000</v>
      </c>
      <c r="I2751" t="s">
        <v>179</v>
      </c>
      <c r="J2751" t="s">
        <v>828</v>
      </c>
      <c r="K2751" t="s">
        <v>180</v>
      </c>
      <c r="L2751">
        <v>200046252</v>
      </c>
    </row>
    <row r="2752" spans="3:12">
      <c r="C2752">
        <v>2100300025</v>
      </c>
      <c r="D2752">
        <v>6426000</v>
      </c>
      <c r="E2752" t="s">
        <v>188</v>
      </c>
      <c r="F2752">
        <v>5210010105</v>
      </c>
      <c r="G2752" s="13">
        <v>79200</v>
      </c>
      <c r="I2752" t="s">
        <v>179</v>
      </c>
      <c r="J2752" t="s">
        <v>922</v>
      </c>
      <c r="K2752" t="s">
        <v>180</v>
      </c>
      <c r="L2752">
        <v>200047699</v>
      </c>
    </row>
    <row r="2753" spans="3:12">
      <c r="C2753">
        <v>2100300025</v>
      </c>
      <c r="D2753">
        <v>6426000</v>
      </c>
      <c r="E2753" t="s">
        <v>188</v>
      </c>
      <c r="F2753">
        <v>5210010105</v>
      </c>
      <c r="G2753" s="13">
        <v>1166376.25</v>
      </c>
      <c r="I2753" t="s">
        <v>179</v>
      </c>
      <c r="J2753" t="s">
        <v>922</v>
      </c>
      <c r="K2753" t="s">
        <v>180</v>
      </c>
      <c r="L2753">
        <v>200047700</v>
      </c>
    </row>
    <row r="2754" spans="3:12">
      <c r="C2754">
        <v>2100300025</v>
      </c>
      <c r="D2754">
        <v>6426000</v>
      </c>
      <c r="E2754" t="s">
        <v>188</v>
      </c>
      <c r="F2754">
        <v>5210010105</v>
      </c>
      <c r="G2754">
        <v>400</v>
      </c>
      <c r="I2754" t="s">
        <v>179</v>
      </c>
      <c r="J2754" t="s">
        <v>923</v>
      </c>
      <c r="K2754" t="s">
        <v>180</v>
      </c>
      <c r="L2754">
        <v>200047453</v>
      </c>
    </row>
    <row r="2755" spans="3:12">
      <c r="C2755">
        <v>2100300025</v>
      </c>
      <c r="D2755">
        <v>6426000</v>
      </c>
      <c r="E2755" t="s">
        <v>188</v>
      </c>
      <c r="F2755">
        <v>5210010105</v>
      </c>
      <c r="G2755" s="13">
        <v>1600</v>
      </c>
      <c r="I2755" t="s">
        <v>179</v>
      </c>
      <c r="J2755" t="s">
        <v>923</v>
      </c>
      <c r="K2755" t="s">
        <v>180</v>
      </c>
      <c r="L2755">
        <v>200051921</v>
      </c>
    </row>
    <row r="2756" spans="3:12">
      <c r="C2756">
        <v>2100300025</v>
      </c>
      <c r="D2756">
        <v>6426000</v>
      </c>
      <c r="E2756" t="s">
        <v>188</v>
      </c>
      <c r="F2756">
        <v>5210010105</v>
      </c>
      <c r="G2756" s="13">
        <v>2675</v>
      </c>
      <c r="I2756" t="s">
        <v>179</v>
      </c>
      <c r="J2756" t="s">
        <v>828</v>
      </c>
      <c r="K2756" t="s">
        <v>180</v>
      </c>
      <c r="L2756">
        <v>200045944</v>
      </c>
    </row>
    <row r="2757" spans="3:12">
      <c r="C2757">
        <v>2100300025</v>
      </c>
      <c r="D2757">
        <v>6426000</v>
      </c>
      <c r="E2757" t="s">
        <v>188</v>
      </c>
      <c r="F2757">
        <v>5210010105</v>
      </c>
      <c r="G2757" s="13">
        <v>64163.81</v>
      </c>
      <c r="I2757" t="s">
        <v>179</v>
      </c>
      <c r="J2757" t="s">
        <v>828</v>
      </c>
      <c r="K2757" t="s">
        <v>180</v>
      </c>
      <c r="L2757">
        <v>200045483</v>
      </c>
    </row>
    <row r="2758" spans="3:12">
      <c r="C2758">
        <v>2100300025</v>
      </c>
      <c r="D2758">
        <v>6426000</v>
      </c>
      <c r="E2758" t="s">
        <v>188</v>
      </c>
      <c r="F2758">
        <v>5210010105</v>
      </c>
      <c r="G2758" s="13">
        <v>211700</v>
      </c>
      <c r="I2758" t="s">
        <v>179</v>
      </c>
      <c r="J2758" t="s">
        <v>828</v>
      </c>
      <c r="K2758" t="s">
        <v>180</v>
      </c>
      <c r="L2758">
        <v>200045527</v>
      </c>
    </row>
    <row r="2759" spans="3:12">
      <c r="C2759">
        <v>2100300025</v>
      </c>
      <c r="D2759">
        <v>6426000</v>
      </c>
      <c r="E2759" t="s">
        <v>188</v>
      </c>
      <c r="F2759">
        <v>5210010105</v>
      </c>
      <c r="G2759" s="13">
        <v>4950</v>
      </c>
      <c r="I2759" t="s">
        <v>179</v>
      </c>
      <c r="J2759" t="s">
        <v>828</v>
      </c>
      <c r="K2759" t="s">
        <v>180</v>
      </c>
      <c r="L2759">
        <v>200045528</v>
      </c>
    </row>
    <row r="2760" spans="3:12">
      <c r="C2760">
        <v>2100300025</v>
      </c>
      <c r="D2760">
        <v>6426000</v>
      </c>
      <c r="E2760" t="s">
        <v>188</v>
      </c>
      <c r="F2760">
        <v>5210010105</v>
      </c>
      <c r="G2760">
        <v>765</v>
      </c>
      <c r="I2760" t="s">
        <v>179</v>
      </c>
      <c r="J2760" t="s">
        <v>829</v>
      </c>
      <c r="K2760" t="s">
        <v>180</v>
      </c>
      <c r="L2760">
        <v>200052331</v>
      </c>
    </row>
    <row r="2761" spans="3:12">
      <c r="C2761">
        <v>2100300025</v>
      </c>
      <c r="D2761">
        <v>6426000</v>
      </c>
      <c r="E2761" t="s">
        <v>188</v>
      </c>
      <c r="F2761">
        <v>5210010105</v>
      </c>
      <c r="G2761" s="13">
        <v>1420</v>
      </c>
      <c r="I2761" t="s">
        <v>179</v>
      </c>
      <c r="J2761" t="s">
        <v>829</v>
      </c>
      <c r="K2761" t="s">
        <v>180</v>
      </c>
      <c r="L2761">
        <v>200052332</v>
      </c>
    </row>
    <row r="2762" spans="3:12">
      <c r="C2762">
        <v>2100300025</v>
      </c>
      <c r="D2762">
        <v>6426000</v>
      </c>
      <c r="E2762" t="s">
        <v>188</v>
      </c>
      <c r="F2762">
        <v>5210010105</v>
      </c>
      <c r="G2762" s="13">
        <v>3520</v>
      </c>
      <c r="I2762" t="s">
        <v>179</v>
      </c>
      <c r="J2762" t="s">
        <v>924</v>
      </c>
      <c r="K2762" t="s">
        <v>180</v>
      </c>
      <c r="L2762">
        <v>200055414</v>
      </c>
    </row>
    <row r="2763" spans="3:12">
      <c r="C2763">
        <v>2100300025</v>
      </c>
      <c r="D2763">
        <v>6426000</v>
      </c>
      <c r="E2763" t="s">
        <v>188</v>
      </c>
      <c r="F2763">
        <v>5210010105</v>
      </c>
      <c r="G2763" s="13">
        <v>4250</v>
      </c>
      <c r="I2763" t="s">
        <v>179</v>
      </c>
      <c r="J2763" t="s">
        <v>924</v>
      </c>
      <c r="K2763" t="s">
        <v>180</v>
      </c>
      <c r="L2763">
        <v>200053328</v>
      </c>
    </row>
    <row r="2764" spans="3:12">
      <c r="C2764">
        <v>2100300025</v>
      </c>
      <c r="D2764">
        <v>6426000</v>
      </c>
      <c r="E2764" t="s">
        <v>188</v>
      </c>
      <c r="F2764">
        <v>5210010105</v>
      </c>
      <c r="G2764">
        <v>719.32</v>
      </c>
      <c r="I2764" t="s">
        <v>179</v>
      </c>
      <c r="J2764" t="s">
        <v>924</v>
      </c>
      <c r="K2764" t="s">
        <v>180</v>
      </c>
      <c r="L2764">
        <v>200055416</v>
      </c>
    </row>
    <row r="2765" spans="3:12">
      <c r="C2765">
        <v>2100300025</v>
      </c>
      <c r="D2765">
        <v>6426000</v>
      </c>
      <c r="E2765" t="s">
        <v>188</v>
      </c>
      <c r="F2765">
        <v>5210010105</v>
      </c>
      <c r="G2765">
        <v>360</v>
      </c>
      <c r="I2765" t="s">
        <v>179</v>
      </c>
      <c r="J2765" t="s">
        <v>924</v>
      </c>
      <c r="K2765" t="s">
        <v>180</v>
      </c>
      <c r="L2765">
        <v>200055112</v>
      </c>
    </row>
    <row r="2766" spans="3:12">
      <c r="C2766">
        <v>2100300025</v>
      </c>
      <c r="D2766">
        <v>6426000</v>
      </c>
      <c r="E2766" t="s">
        <v>188</v>
      </c>
      <c r="F2766">
        <v>5210010105</v>
      </c>
      <c r="G2766" s="13">
        <v>1800</v>
      </c>
      <c r="I2766" t="s">
        <v>179</v>
      </c>
      <c r="J2766" t="s">
        <v>924</v>
      </c>
      <c r="K2766" t="s">
        <v>180</v>
      </c>
      <c r="L2766">
        <v>200055113</v>
      </c>
    </row>
    <row r="2767" spans="3:12">
      <c r="C2767">
        <v>2100300025</v>
      </c>
      <c r="D2767">
        <v>6426000</v>
      </c>
      <c r="E2767" t="s">
        <v>188</v>
      </c>
      <c r="F2767">
        <v>5210010105</v>
      </c>
      <c r="G2767" s="13">
        <v>6350</v>
      </c>
      <c r="I2767" t="s">
        <v>179</v>
      </c>
      <c r="J2767" t="s">
        <v>924</v>
      </c>
      <c r="K2767" t="s">
        <v>180</v>
      </c>
      <c r="L2767">
        <v>200055114</v>
      </c>
    </row>
    <row r="2768" spans="3:12">
      <c r="C2768">
        <v>2100300025</v>
      </c>
      <c r="D2768">
        <v>6426000</v>
      </c>
      <c r="E2768" t="s">
        <v>188</v>
      </c>
      <c r="F2768">
        <v>5210010105</v>
      </c>
      <c r="G2768" s="13">
        <v>6490</v>
      </c>
      <c r="I2768" t="s">
        <v>179</v>
      </c>
      <c r="J2768" t="s">
        <v>924</v>
      </c>
      <c r="K2768" t="s">
        <v>180</v>
      </c>
      <c r="L2768">
        <v>200055115</v>
      </c>
    </row>
    <row r="2769" spans="3:12">
      <c r="C2769">
        <v>2100300025</v>
      </c>
      <c r="D2769">
        <v>6426000</v>
      </c>
      <c r="E2769" t="s">
        <v>188</v>
      </c>
      <c r="F2769">
        <v>5210010105</v>
      </c>
      <c r="G2769" s="13">
        <v>5600</v>
      </c>
      <c r="I2769" t="s">
        <v>179</v>
      </c>
      <c r="J2769" t="s">
        <v>924</v>
      </c>
      <c r="K2769" t="s">
        <v>180</v>
      </c>
      <c r="L2769">
        <v>200055116</v>
      </c>
    </row>
    <row r="2770" spans="3:12">
      <c r="C2770">
        <v>2100300025</v>
      </c>
      <c r="D2770">
        <v>6426000</v>
      </c>
      <c r="E2770" t="s">
        <v>188</v>
      </c>
      <c r="F2770">
        <v>5210010105</v>
      </c>
      <c r="G2770" s="13">
        <v>1600</v>
      </c>
      <c r="I2770" t="s">
        <v>179</v>
      </c>
      <c r="J2770" t="s">
        <v>830</v>
      </c>
      <c r="K2770" t="s">
        <v>180</v>
      </c>
      <c r="L2770">
        <v>200045940</v>
      </c>
    </row>
    <row r="2771" spans="3:12">
      <c r="C2771">
        <v>2100300025</v>
      </c>
      <c r="D2771">
        <v>6426000</v>
      </c>
      <c r="E2771" t="s">
        <v>188</v>
      </c>
      <c r="F2771">
        <v>5210010105</v>
      </c>
      <c r="G2771" s="13">
        <v>2180</v>
      </c>
      <c r="I2771" t="s">
        <v>179</v>
      </c>
      <c r="J2771" t="s">
        <v>830</v>
      </c>
      <c r="K2771" t="s">
        <v>180</v>
      </c>
      <c r="L2771">
        <v>200045941</v>
      </c>
    </row>
    <row r="2772" spans="3:12">
      <c r="C2772">
        <v>2100300025</v>
      </c>
      <c r="D2772">
        <v>6426000</v>
      </c>
      <c r="E2772" t="s">
        <v>188</v>
      </c>
      <c r="F2772">
        <v>5210010105</v>
      </c>
      <c r="G2772" s="13">
        <v>1200</v>
      </c>
      <c r="I2772" t="s">
        <v>179</v>
      </c>
      <c r="J2772" t="s">
        <v>830</v>
      </c>
      <c r="K2772" t="s">
        <v>180</v>
      </c>
      <c r="L2772">
        <v>200046037</v>
      </c>
    </row>
    <row r="2773" spans="3:12">
      <c r="C2773">
        <v>2100300025</v>
      </c>
      <c r="D2773">
        <v>6426000</v>
      </c>
      <c r="E2773" t="s">
        <v>188</v>
      </c>
      <c r="F2773">
        <v>5210010105</v>
      </c>
      <c r="G2773" s="13">
        <v>2785</v>
      </c>
      <c r="I2773" t="s">
        <v>179</v>
      </c>
      <c r="J2773" t="s">
        <v>830</v>
      </c>
      <c r="K2773" t="s">
        <v>180</v>
      </c>
      <c r="L2773">
        <v>200046038</v>
      </c>
    </row>
    <row r="2774" spans="3:12">
      <c r="C2774">
        <v>2100300025</v>
      </c>
      <c r="D2774">
        <v>6426000</v>
      </c>
      <c r="E2774" t="s">
        <v>188</v>
      </c>
      <c r="F2774">
        <v>5210010105</v>
      </c>
      <c r="G2774" s="13">
        <v>4494</v>
      </c>
      <c r="I2774" t="s">
        <v>179</v>
      </c>
      <c r="J2774" t="s">
        <v>830</v>
      </c>
      <c r="K2774" t="s">
        <v>180</v>
      </c>
      <c r="L2774">
        <v>200046039</v>
      </c>
    </row>
    <row r="2775" spans="3:12">
      <c r="C2775">
        <v>2100300025</v>
      </c>
      <c r="D2775">
        <v>6426000</v>
      </c>
      <c r="E2775" t="s">
        <v>188</v>
      </c>
      <c r="F2775">
        <v>5210010105</v>
      </c>
      <c r="G2775" s="13">
        <v>4515</v>
      </c>
      <c r="I2775" t="s">
        <v>179</v>
      </c>
      <c r="J2775" t="s">
        <v>830</v>
      </c>
      <c r="K2775" t="s">
        <v>180</v>
      </c>
      <c r="L2775">
        <v>200046040</v>
      </c>
    </row>
    <row r="2776" spans="3:12">
      <c r="C2776">
        <v>2100300025</v>
      </c>
      <c r="D2776">
        <v>6426000</v>
      </c>
      <c r="E2776" t="s">
        <v>188</v>
      </c>
      <c r="F2776">
        <v>5210010105</v>
      </c>
      <c r="G2776" s="13">
        <v>4080</v>
      </c>
      <c r="I2776" t="s">
        <v>179</v>
      </c>
      <c r="J2776" t="s">
        <v>830</v>
      </c>
      <c r="K2776" t="s">
        <v>180</v>
      </c>
      <c r="L2776">
        <v>200045525</v>
      </c>
    </row>
    <row r="2777" spans="3:12">
      <c r="C2777">
        <v>2100300025</v>
      </c>
      <c r="D2777">
        <v>6426000</v>
      </c>
      <c r="E2777" t="s">
        <v>188</v>
      </c>
      <c r="F2777">
        <v>5210010105</v>
      </c>
      <c r="G2777">
        <v>250</v>
      </c>
      <c r="I2777" t="s">
        <v>179</v>
      </c>
      <c r="J2777" t="s">
        <v>830</v>
      </c>
      <c r="K2777" t="s">
        <v>180</v>
      </c>
      <c r="L2777">
        <v>200046041</v>
      </c>
    </row>
    <row r="2778" spans="3:12">
      <c r="C2778">
        <v>2100300025</v>
      </c>
      <c r="D2778">
        <v>6426000</v>
      </c>
      <c r="E2778" t="s">
        <v>188</v>
      </c>
      <c r="F2778">
        <v>5210010105</v>
      </c>
      <c r="G2778" s="13">
        <v>152532.49</v>
      </c>
      <c r="I2778" t="s">
        <v>179</v>
      </c>
      <c r="J2778" t="s">
        <v>925</v>
      </c>
      <c r="K2778" t="s">
        <v>180</v>
      </c>
      <c r="L2778">
        <v>200051061</v>
      </c>
    </row>
    <row r="2779" spans="3:12">
      <c r="C2779">
        <v>2100300025</v>
      </c>
      <c r="D2779">
        <v>6426000</v>
      </c>
      <c r="E2779" t="s">
        <v>188</v>
      </c>
      <c r="F2779">
        <v>5210010105</v>
      </c>
      <c r="G2779" s="13">
        <v>12840</v>
      </c>
      <c r="I2779" t="s">
        <v>179</v>
      </c>
      <c r="J2779" t="s">
        <v>925</v>
      </c>
      <c r="K2779" t="s">
        <v>180</v>
      </c>
      <c r="L2779">
        <v>200047593</v>
      </c>
    </row>
    <row r="2780" spans="3:12">
      <c r="C2780">
        <v>2100300025</v>
      </c>
      <c r="D2780">
        <v>6426000</v>
      </c>
      <c r="E2780" t="s">
        <v>188</v>
      </c>
      <c r="F2780">
        <v>5210010105</v>
      </c>
      <c r="G2780" s="13">
        <v>1850</v>
      </c>
      <c r="I2780" t="s">
        <v>179</v>
      </c>
      <c r="J2780" t="s">
        <v>925</v>
      </c>
      <c r="K2780" t="s">
        <v>180</v>
      </c>
      <c r="L2780">
        <v>200051317</v>
      </c>
    </row>
    <row r="2781" spans="3:12">
      <c r="C2781">
        <v>2100300025</v>
      </c>
      <c r="D2781">
        <v>6426000</v>
      </c>
      <c r="E2781" t="s">
        <v>188</v>
      </c>
      <c r="F2781">
        <v>5210010105</v>
      </c>
      <c r="G2781">
        <v>850</v>
      </c>
      <c r="I2781" t="s">
        <v>179</v>
      </c>
      <c r="J2781" t="s">
        <v>925</v>
      </c>
      <c r="K2781" t="s">
        <v>180</v>
      </c>
      <c r="L2781">
        <v>200051509</v>
      </c>
    </row>
    <row r="2782" spans="3:12">
      <c r="C2782">
        <v>2100300025</v>
      </c>
      <c r="D2782">
        <v>6426000</v>
      </c>
      <c r="E2782" t="s">
        <v>188</v>
      </c>
      <c r="F2782">
        <v>5210010105</v>
      </c>
      <c r="G2782" s="13">
        <v>2000</v>
      </c>
      <c r="I2782" t="s">
        <v>179</v>
      </c>
      <c r="J2782" t="s">
        <v>925</v>
      </c>
      <c r="K2782" t="s">
        <v>180</v>
      </c>
      <c r="L2782">
        <v>200051318</v>
      </c>
    </row>
    <row r="2783" spans="3:12">
      <c r="C2783">
        <v>2100300025</v>
      </c>
      <c r="D2783">
        <v>6426000</v>
      </c>
      <c r="E2783" t="s">
        <v>188</v>
      </c>
      <c r="F2783">
        <v>5210010105</v>
      </c>
      <c r="G2783" s="13">
        <v>3575</v>
      </c>
      <c r="I2783" t="s">
        <v>179</v>
      </c>
      <c r="J2783" t="s">
        <v>925</v>
      </c>
      <c r="K2783" t="s">
        <v>180</v>
      </c>
      <c r="L2783">
        <v>200051319</v>
      </c>
    </row>
    <row r="2784" spans="3:12">
      <c r="C2784">
        <v>2100300025</v>
      </c>
      <c r="D2784">
        <v>6426000</v>
      </c>
      <c r="E2784" t="s">
        <v>188</v>
      </c>
      <c r="F2784">
        <v>5210010105</v>
      </c>
      <c r="G2784" s="13">
        <v>49808.5</v>
      </c>
      <c r="I2784" t="s">
        <v>179</v>
      </c>
      <c r="J2784" t="s">
        <v>925</v>
      </c>
      <c r="K2784" t="s">
        <v>180</v>
      </c>
      <c r="L2784">
        <v>200051320</v>
      </c>
    </row>
    <row r="2785" spans="3:12">
      <c r="C2785">
        <v>2100300025</v>
      </c>
      <c r="D2785">
        <v>6426000</v>
      </c>
      <c r="E2785" t="s">
        <v>188</v>
      </c>
      <c r="F2785">
        <v>5210010105</v>
      </c>
      <c r="G2785" s="13">
        <v>2000</v>
      </c>
      <c r="I2785" t="s">
        <v>179</v>
      </c>
      <c r="J2785" t="s">
        <v>925</v>
      </c>
      <c r="K2785" t="s">
        <v>180</v>
      </c>
      <c r="L2785">
        <v>200051510</v>
      </c>
    </row>
    <row r="2786" spans="3:12">
      <c r="C2786">
        <v>2100300025</v>
      </c>
      <c r="D2786">
        <v>6426000</v>
      </c>
      <c r="E2786" t="s">
        <v>188</v>
      </c>
      <c r="F2786">
        <v>5210010105</v>
      </c>
      <c r="G2786" s="13">
        <v>32500</v>
      </c>
      <c r="I2786" t="s">
        <v>179</v>
      </c>
      <c r="J2786" t="s">
        <v>926</v>
      </c>
      <c r="K2786" t="s">
        <v>180</v>
      </c>
      <c r="L2786">
        <v>200054567</v>
      </c>
    </row>
    <row r="2787" spans="3:12">
      <c r="C2787">
        <v>2100300025</v>
      </c>
      <c r="D2787">
        <v>6426000</v>
      </c>
      <c r="E2787" t="s">
        <v>188</v>
      </c>
      <c r="F2787">
        <v>5210010105</v>
      </c>
      <c r="G2787" s="13">
        <v>56082.12</v>
      </c>
      <c r="I2787" t="s">
        <v>179</v>
      </c>
      <c r="J2787" t="s">
        <v>926</v>
      </c>
      <c r="K2787" t="s">
        <v>180</v>
      </c>
      <c r="L2787">
        <v>200055027</v>
      </c>
    </row>
    <row r="2788" spans="3:12">
      <c r="C2788">
        <v>2100300025</v>
      </c>
      <c r="D2788">
        <v>6426000</v>
      </c>
      <c r="E2788" t="s">
        <v>188</v>
      </c>
      <c r="F2788">
        <v>5210010105</v>
      </c>
      <c r="G2788" s="13">
        <v>210929.1</v>
      </c>
      <c r="I2788" t="s">
        <v>179</v>
      </c>
      <c r="J2788" t="s">
        <v>914</v>
      </c>
      <c r="K2788" t="s">
        <v>180</v>
      </c>
      <c r="L2788">
        <v>200040621</v>
      </c>
    </row>
    <row r="2789" spans="3:12">
      <c r="C2789">
        <v>2100300025</v>
      </c>
      <c r="D2789">
        <v>6426000</v>
      </c>
      <c r="E2789" t="s">
        <v>188</v>
      </c>
      <c r="F2789">
        <v>5210010105</v>
      </c>
      <c r="G2789" s="13">
        <v>1926</v>
      </c>
      <c r="I2789" t="s">
        <v>179</v>
      </c>
      <c r="J2789" t="s">
        <v>799</v>
      </c>
      <c r="K2789" t="s">
        <v>180</v>
      </c>
      <c r="L2789">
        <v>200035917</v>
      </c>
    </row>
    <row r="2790" spans="3:12">
      <c r="C2790">
        <v>2100300025</v>
      </c>
      <c r="D2790">
        <v>6426000</v>
      </c>
      <c r="E2790" t="s">
        <v>188</v>
      </c>
      <c r="F2790">
        <v>5210010105</v>
      </c>
      <c r="G2790">
        <v>930</v>
      </c>
      <c r="I2790" t="s">
        <v>179</v>
      </c>
      <c r="J2790" t="s">
        <v>799</v>
      </c>
      <c r="K2790" t="s">
        <v>180</v>
      </c>
      <c r="L2790">
        <v>200035919</v>
      </c>
    </row>
    <row r="2791" spans="3:12">
      <c r="C2791">
        <v>2100300025</v>
      </c>
      <c r="D2791">
        <v>6426000</v>
      </c>
      <c r="E2791" t="s">
        <v>188</v>
      </c>
      <c r="F2791">
        <v>5210010105</v>
      </c>
      <c r="G2791" s="13">
        <v>4500</v>
      </c>
      <c r="I2791" t="s">
        <v>179</v>
      </c>
      <c r="J2791" t="s">
        <v>799</v>
      </c>
      <c r="K2791" t="s">
        <v>180</v>
      </c>
      <c r="L2791">
        <v>200034756</v>
      </c>
    </row>
    <row r="2792" spans="3:12">
      <c r="C2792">
        <v>2100300025</v>
      </c>
      <c r="D2792">
        <v>6426000</v>
      </c>
      <c r="E2792" t="s">
        <v>188</v>
      </c>
      <c r="F2792">
        <v>5210010105</v>
      </c>
      <c r="G2792" s="13">
        <v>2640.76</v>
      </c>
      <c r="I2792" t="s">
        <v>179</v>
      </c>
      <c r="J2792" t="s">
        <v>799</v>
      </c>
      <c r="K2792" t="s">
        <v>180</v>
      </c>
      <c r="L2792">
        <v>200035868</v>
      </c>
    </row>
    <row r="2793" spans="3:12">
      <c r="C2793">
        <v>2100300025</v>
      </c>
      <c r="D2793">
        <v>6426000</v>
      </c>
      <c r="E2793" t="s">
        <v>188</v>
      </c>
      <c r="F2793">
        <v>5210010105</v>
      </c>
      <c r="G2793" s="13">
        <v>55000</v>
      </c>
      <c r="I2793" t="s">
        <v>179</v>
      </c>
      <c r="J2793" t="s">
        <v>799</v>
      </c>
      <c r="K2793" t="s">
        <v>180</v>
      </c>
      <c r="L2793">
        <v>200035878</v>
      </c>
    </row>
    <row r="2794" spans="3:12">
      <c r="C2794">
        <v>2100300025</v>
      </c>
      <c r="D2794">
        <v>6426000</v>
      </c>
      <c r="E2794" t="s">
        <v>188</v>
      </c>
      <c r="F2794">
        <v>5210010105</v>
      </c>
      <c r="G2794" s="13">
        <v>47700</v>
      </c>
      <c r="I2794" t="s">
        <v>179</v>
      </c>
      <c r="J2794" t="s">
        <v>799</v>
      </c>
      <c r="K2794" t="s">
        <v>180</v>
      </c>
      <c r="L2794">
        <v>200035931</v>
      </c>
    </row>
    <row r="2795" spans="3:12">
      <c r="C2795">
        <v>2100300025</v>
      </c>
      <c r="D2795">
        <v>6426000</v>
      </c>
      <c r="E2795" t="s">
        <v>188</v>
      </c>
      <c r="F2795">
        <v>5210010105</v>
      </c>
      <c r="G2795" s="13">
        <v>100740.5</v>
      </c>
      <c r="I2795" t="s">
        <v>179</v>
      </c>
      <c r="J2795" t="s">
        <v>799</v>
      </c>
      <c r="K2795" t="s">
        <v>180</v>
      </c>
      <c r="L2795">
        <v>200034579</v>
      </c>
    </row>
    <row r="2796" spans="3:12">
      <c r="C2796">
        <v>2100300025</v>
      </c>
      <c r="D2796">
        <v>6426000</v>
      </c>
      <c r="E2796" t="s">
        <v>188</v>
      </c>
      <c r="F2796">
        <v>5210010105</v>
      </c>
      <c r="G2796" s="13">
        <v>128400</v>
      </c>
      <c r="I2796" t="s">
        <v>179</v>
      </c>
      <c r="J2796" t="s">
        <v>799</v>
      </c>
      <c r="K2796" t="s">
        <v>180</v>
      </c>
      <c r="L2796">
        <v>200035414</v>
      </c>
    </row>
    <row r="2797" spans="3:12">
      <c r="C2797">
        <v>2100300025</v>
      </c>
      <c r="D2797">
        <v>6426000</v>
      </c>
      <c r="E2797" t="s">
        <v>188</v>
      </c>
      <c r="F2797">
        <v>5210010105</v>
      </c>
      <c r="G2797" s="13">
        <v>10400</v>
      </c>
      <c r="I2797" t="s">
        <v>179</v>
      </c>
      <c r="J2797" t="s">
        <v>799</v>
      </c>
      <c r="K2797" t="s">
        <v>180</v>
      </c>
      <c r="L2797">
        <v>200034580</v>
      </c>
    </row>
    <row r="2798" spans="3:12">
      <c r="C2798">
        <v>2100300025</v>
      </c>
      <c r="D2798">
        <v>6426000</v>
      </c>
      <c r="E2798" t="s">
        <v>188</v>
      </c>
      <c r="F2798">
        <v>5210010105</v>
      </c>
      <c r="G2798" s="13">
        <v>36000</v>
      </c>
      <c r="I2798" t="s">
        <v>179</v>
      </c>
      <c r="J2798" t="s">
        <v>799</v>
      </c>
      <c r="K2798" t="s">
        <v>180</v>
      </c>
      <c r="L2798">
        <v>200035416</v>
      </c>
    </row>
    <row r="2799" spans="3:12">
      <c r="C2799">
        <v>2100300025</v>
      </c>
      <c r="D2799">
        <v>6426000</v>
      </c>
      <c r="E2799" t="s">
        <v>188</v>
      </c>
      <c r="F2799">
        <v>5210010105</v>
      </c>
      <c r="G2799" s="13">
        <v>5993</v>
      </c>
      <c r="I2799" t="s">
        <v>179</v>
      </c>
      <c r="J2799" t="s">
        <v>799</v>
      </c>
      <c r="K2799" t="s">
        <v>180</v>
      </c>
      <c r="L2799">
        <v>200034581</v>
      </c>
    </row>
    <row r="2800" spans="3:12">
      <c r="C2800">
        <v>2100300025</v>
      </c>
      <c r="D2800">
        <v>6426000</v>
      </c>
      <c r="E2800" t="s">
        <v>188</v>
      </c>
      <c r="F2800">
        <v>5210010105</v>
      </c>
      <c r="G2800" s="13">
        <v>8613.5</v>
      </c>
      <c r="I2800" t="s">
        <v>179</v>
      </c>
      <c r="J2800" t="s">
        <v>799</v>
      </c>
      <c r="K2800" t="s">
        <v>180</v>
      </c>
      <c r="L2800">
        <v>200035417</v>
      </c>
    </row>
    <row r="2801" spans="3:12">
      <c r="C2801">
        <v>2100300025</v>
      </c>
      <c r="D2801">
        <v>6426000</v>
      </c>
      <c r="E2801" t="s">
        <v>188</v>
      </c>
      <c r="F2801">
        <v>5210010105</v>
      </c>
      <c r="G2801">
        <v>650</v>
      </c>
      <c r="I2801" t="s">
        <v>179</v>
      </c>
      <c r="J2801" t="s">
        <v>799</v>
      </c>
      <c r="K2801" t="s">
        <v>180</v>
      </c>
      <c r="L2801">
        <v>200034423</v>
      </c>
    </row>
    <row r="2802" spans="3:12">
      <c r="C2802">
        <v>2100300025</v>
      </c>
      <c r="D2802">
        <v>6426000</v>
      </c>
      <c r="E2802" t="s">
        <v>188</v>
      </c>
      <c r="F2802">
        <v>5210010105</v>
      </c>
      <c r="G2802">
        <v>160.5</v>
      </c>
      <c r="I2802" t="s">
        <v>179</v>
      </c>
      <c r="J2802" t="s">
        <v>799</v>
      </c>
      <c r="K2802" t="s">
        <v>180</v>
      </c>
      <c r="L2802">
        <v>200034424</v>
      </c>
    </row>
    <row r="2803" spans="3:12">
      <c r="C2803">
        <v>2100300025</v>
      </c>
      <c r="D2803">
        <v>6426000</v>
      </c>
      <c r="E2803" t="s">
        <v>188</v>
      </c>
      <c r="F2803">
        <v>5210010105</v>
      </c>
      <c r="G2803" s="13">
        <v>1284</v>
      </c>
      <c r="I2803" t="s">
        <v>179</v>
      </c>
      <c r="J2803" t="s">
        <v>799</v>
      </c>
      <c r="K2803" t="s">
        <v>180</v>
      </c>
      <c r="L2803">
        <v>200034425</v>
      </c>
    </row>
    <row r="2804" spans="3:12">
      <c r="C2804">
        <v>2100300025</v>
      </c>
      <c r="D2804">
        <v>6426000</v>
      </c>
      <c r="E2804" t="s">
        <v>188</v>
      </c>
      <c r="F2804">
        <v>5210010105</v>
      </c>
      <c r="G2804" s="13">
        <v>3500</v>
      </c>
      <c r="I2804" t="s">
        <v>179</v>
      </c>
      <c r="J2804" t="s">
        <v>799</v>
      </c>
      <c r="K2804" t="s">
        <v>180</v>
      </c>
      <c r="L2804">
        <v>200034426</v>
      </c>
    </row>
    <row r="2805" spans="3:12">
      <c r="C2805">
        <v>2100300025</v>
      </c>
      <c r="D2805">
        <v>6426000</v>
      </c>
      <c r="E2805" t="s">
        <v>188</v>
      </c>
      <c r="F2805">
        <v>5210010105</v>
      </c>
      <c r="G2805">
        <v>154.08000000000001</v>
      </c>
      <c r="I2805" t="s">
        <v>179</v>
      </c>
      <c r="J2805" t="s">
        <v>799</v>
      </c>
      <c r="K2805" t="s">
        <v>180</v>
      </c>
      <c r="L2805">
        <v>200034427</v>
      </c>
    </row>
    <row r="2806" spans="3:12">
      <c r="C2806">
        <v>2100300025</v>
      </c>
      <c r="D2806">
        <v>6426000</v>
      </c>
      <c r="E2806" t="s">
        <v>188</v>
      </c>
      <c r="F2806">
        <v>5210010105</v>
      </c>
      <c r="G2806" s="13">
        <v>9000</v>
      </c>
      <c r="I2806" t="s">
        <v>179</v>
      </c>
      <c r="J2806" t="s">
        <v>799</v>
      </c>
      <c r="K2806" t="s">
        <v>180</v>
      </c>
      <c r="L2806">
        <v>200034428</v>
      </c>
    </row>
    <row r="2807" spans="3:12">
      <c r="C2807">
        <v>2100300025</v>
      </c>
      <c r="D2807">
        <v>6426000</v>
      </c>
      <c r="E2807" t="s">
        <v>188</v>
      </c>
      <c r="F2807">
        <v>5210010105</v>
      </c>
      <c r="G2807">
        <v>246</v>
      </c>
      <c r="I2807" t="s">
        <v>179</v>
      </c>
      <c r="J2807" t="s">
        <v>799</v>
      </c>
      <c r="K2807" t="s">
        <v>180</v>
      </c>
      <c r="L2807">
        <v>200034429</v>
      </c>
    </row>
    <row r="2808" spans="3:12">
      <c r="C2808">
        <v>2100300025</v>
      </c>
      <c r="D2808">
        <v>6426000</v>
      </c>
      <c r="E2808" t="s">
        <v>188</v>
      </c>
      <c r="F2808">
        <v>5210010105</v>
      </c>
      <c r="G2808" s="13">
        <v>11970</v>
      </c>
      <c r="I2808" t="s">
        <v>179</v>
      </c>
      <c r="J2808" t="s">
        <v>799</v>
      </c>
      <c r="K2808" t="s">
        <v>180</v>
      </c>
      <c r="L2808">
        <v>200034430</v>
      </c>
    </row>
    <row r="2809" spans="3:12">
      <c r="C2809">
        <v>2100300025</v>
      </c>
      <c r="D2809">
        <v>6426000</v>
      </c>
      <c r="E2809" t="s">
        <v>188</v>
      </c>
      <c r="F2809">
        <v>5210010105</v>
      </c>
      <c r="G2809" s="13">
        <v>12000</v>
      </c>
      <c r="I2809" t="s">
        <v>179</v>
      </c>
      <c r="J2809" t="s">
        <v>799</v>
      </c>
      <c r="K2809" t="s">
        <v>180</v>
      </c>
      <c r="L2809">
        <v>200034723</v>
      </c>
    </row>
    <row r="2810" spans="3:12">
      <c r="C2810">
        <v>2100300025</v>
      </c>
      <c r="D2810">
        <v>6426000</v>
      </c>
      <c r="E2810" t="s">
        <v>188</v>
      </c>
      <c r="F2810">
        <v>5210010105</v>
      </c>
      <c r="G2810" s="13">
        <v>10600</v>
      </c>
      <c r="I2810" t="s">
        <v>179</v>
      </c>
      <c r="J2810" t="s">
        <v>799</v>
      </c>
      <c r="K2810" t="s">
        <v>180</v>
      </c>
      <c r="L2810">
        <v>200034729</v>
      </c>
    </row>
    <row r="2811" spans="3:12">
      <c r="C2811">
        <v>2100300025</v>
      </c>
      <c r="D2811">
        <v>6426000</v>
      </c>
      <c r="E2811" t="s">
        <v>188</v>
      </c>
      <c r="F2811">
        <v>5210010105</v>
      </c>
      <c r="G2811" s="13">
        <v>37800</v>
      </c>
      <c r="I2811" t="s">
        <v>179</v>
      </c>
      <c r="J2811" t="s">
        <v>914</v>
      </c>
      <c r="K2811" t="s">
        <v>180</v>
      </c>
      <c r="L2811">
        <v>200038288</v>
      </c>
    </row>
    <row r="2812" spans="3:12">
      <c r="C2812">
        <v>2100300025</v>
      </c>
      <c r="D2812">
        <v>6426000</v>
      </c>
      <c r="E2812" t="s">
        <v>188</v>
      </c>
      <c r="F2812">
        <v>5210010105</v>
      </c>
      <c r="G2812" s="13">
        <v>13500</v>
      </c>
      <c r="I2812" t="s">
        <v>179</v>
      </c>
      <c r="J2812" t="s">
        <v>914</v>
      </c>
      <c r="K2812" t="s">
        <v>180</v>
      </c>
      <c r="L2812">
        <v>200040617</v>
      </c>
    </row>
    <row r="2813" spans="3:12">
      <c r="C2813">
        <v>2100300025</v>
      </c>
      <c r="D2813">
        <v>6426000</v>
      </c>
      <c r="E2813" t="s">
        <v>188</v>
      </c>
      <c r="F2813">
        <v>5210010105</v>
      </c>
      <c r="G2813" s="13">
        <v>52500</v>
      </c>
      <c r="I2813" t="s">
        <v>179</v>
      </c>
      <c r="J2813" t="s">
        <v>914</v>
      </c>
      <c r="K2813" t="s">
        <v>180</v>
      </c>
      <c r="L2813">
        <v>200040619</v>
      </c>
    </row>
    <row r="2814" spans="3:12">
      <c r="C2814">
        <v>2100300025</v>
      </c>
      <c r="D2814">
        <v>6426000</v>
      </c>
      <c r="E2814" t="s">
        <v>188</v>
      </c>
      <c r="F2814">
        <v>5210010105</v>
      </c>
      <c r="G2814" s="13">
        <v>238180</v>
      </c>
      <c r="I2814" t="s">
        <v>179</v>
      </c>
      <c r="J2814" t="s">
        <v>914</v>
      </c>
      <c r="K2814" t="s">
        <v>180</v>
      </c>
      <c r="L2814">
        <v>200040475</v>
      </c>
    </row>
    <row r="2815" spans="3:12">
      <c r="C2815">
        <v>2100300025</v>
      </c>
      <c r="D2815">
        <v>6426000</v>
      </c>
      <c r="E2815" t="s">
        <v>188</v>
      </c>
      <c r="F2815">
        <v>5210010105</v>
      </c>
      <c r="G2815" s="13">
        <v>4494</v>
      </c>
      <c r="I2815" t="s">
        <v>179</v>
      </c>
      <c r="J2815" t="s">
        <v>914</v>
      </c>
      <c r="K2815" t="s">
        <v>180</v>
      </c>
      <c r="L2815">
        <v>200039980</v>
      </c>
    </row>
    <row r="2816" spans="3:12">
      <c r="C2816">
        <v>2100300025</v>
      </c>
      <c r="D2816">
        <v>6426000</v>
      </c>
      <c r="E2816" t="s">
        <v>188</v>
      </c>
      <c r="F2816">
        <v>5210010105</v>
      </c>
      <c r="G2816" s="13">
        <v>4850</v>
      </c>
      <c r="I2816" t="s">
        <v>179</v>
      </c>
      <c r="J2816" t="s">
        <v>916</v>
      </c>
      <c r="K2816" t="s">
        <v>180</v>
      </c>
      <c r="L2816">
        <v>200037828</v>
      </c>
    </row>
    <row r="2817" spans="3:12">
      <c r="C2817">
        <v>2100300025</v>
      </c>
      <c r="D2817">
        <v>6426000</v>
      </c>
      <c r="E2817" t="s">
        <v>188</v>
      </c>
      <c r="F2817">
        <v>5210010105</v>
      </c>
      <c r="G2817" s="13">
        <v>12900</v>
      </c>
      <c r="I2817" t="s">
        <v>179</v>
      </c>
      <c r="J2817" t="s">
        <v>916</v>
      </c>
      <c r="K2817" t="s">
        <v>180</v>
      </c>
      <c r="L2817">
        <v>200036699</v>
      </c>
    </row>
    <row r="2818" spans="3:12">
      <c r="C2818">
        <v>2100300025</v>
      </c>
      <c r="D2818">
        <v>6426000</v>
      </c>
      <c r="E2818" t="s">
        <v>188</v>
      </c>
      <c r="F2818">
        <v>5210010105</v>
      </c>
      <c r="G2818" s="13">
        <v>42838</v>
      </c>
      <c r="I2818" t="s">
        <v>179</v>
      </c>
      <c r="J2818" t="s">
        <v>916</v>
      </c>
      <c r="K2818" t="s">
        <v>180</v>
      </c>
      <c r="L2818">
        <v>200037862</v>
      </c>
    </row>
    <row r="2819" spans="3:12">
      <c r="C2819">
        <v>2100300025</v>
      </c>
      <c r="D2819">
        <v>6426000</v>
      </c>
      <c r="E2819" t="s">
        <v>188</v>
      </c>
      <c r="F2819">
        <v>5210010105</v>
      </c>
      <c r="G2819" s="13">
        <v>51000</v>
      </c>
      <c r="I2819" t="s">
        <v>179</v>
      </c>
      <c r="J2819" t="s">
        <v>916</v>
      </c>
      <c r="K2819" t="s">
        <v>180</v>
      </c>
      <c r="L2819">
        <v>200037864</v>
      </c>
    </row>
    <row r="2820" spans="3:12">
      <c r="C2820">
        <v>2100300025</v>
      </c>
      <c r="D2820">
        <v>6426000</v>
      </c>
      <c r="E2820" t="s">
        <v>188</v>
      </c>
      <c r="F2820">
        <v>5210010105</v>
      </c>
      <c r="G2820" s="13">
        <v>10272</v>
      </c>
      <c r="I2820" t="s">
        <v>179</v>
      </c>
      <c r="J2820" t="s">
        <v>916</v>
      </c>
      <c r="K2820" t="s">
        <v>180</v>
      </c>
      <c r="L2820">
        <v>200037867</v>
      </c>
    </row>
    <row r="2821" spans="3:12">
      <c r="C2821">
        <v>2100300025</v>
      </c>
      <c r="D2821">
        <v>6426000</v>
      </c>
      <c r="E2821" t="s">
        <v>188</v>
      </c>
      <c r="F2821">
        <v>5210010105</v>
      </c>
      <c r="G2821" s="13">
        <v>20400</v>
      </c>
      <c r="I2821" t="s">
        <v>179</v>
      </c>
      <c r="J2821" t="s">
        <v>916</v>
      </c>
      <c r="K2821" t="s">
        <v>180</v>
      </c>
      <c r="L2821">
        <v>200037957</v>
      </c>
    </row>
    <row r="2822" spans="3:12">
      <c r="C2822">
        <v>2100300025</v>
      </c>
      <c r="D2822">
        <v>6426000</v>
      </c>
      <c r="E2822" t="s">
        <v>188</v>
      </c>
      <c r="F2822">
        <v>5210010105</v>
      </c>
      <c r="G2822" s="13">
        <v>29600</v>
      </c>
      <c r="I2822" t="s">
        <v>179</v>
      </c>
      <c r="J2822" t="s">
        <v>916</v>
      </c>
      <c r="K2822" t="s">
        <v>180</v>
      </c>
      <c r="L2822">
        <v>200037081</v>
      </c>
    </row>
    <row r="2823" spans="3:12">
      <c r="C2823">
        <v>2100300025</v>
      </c>
      <c r="D2823">
        <v>6426000</v>
      </c>
      <c r="E2823" t="s">
        <v>188</v>
      </c>
      <c r="F2823">
        <v>5210010105</v>
      </c>
      <c r="G2823" s="13">
        <v>1630000</v>
      </c>
      <c r="I2823" t="s">
        <v>179</v>
      </c>
      <c r="J2823" t="s">
        <v>915</v>
      </c>
      <c r="K2823" t="s">
        <v>180</v>
      </c>
      <c r="L2823">
        <v>200039893</v>
      </c>
    </row>
    <row r="2824" spans="3:12">
      <c r="C2824">
        <v>2100300025</v>
      </c>
      <c r="D2824">
        <v>6426000</v>
      </c>
      <c r="E2824" t="s">
        <v>188</v>
      </c>
      <c r="F2824">
        <v>5210010105</v>
      </c>
      <c r="G2824" s="13">
        <v>4260</v>
      </c>
      <c r="I2824" t="s">
        <v>179</v>
      </c>
      <c r="J2824" t="s">
        <v>915</v>
      </c>
      <c r="K2824" t="s">
        <v>180</v>
      </c>
      <c r="L2824">
        <v>200040208</v>
      </c>
    </row>
    <row r="2825" spans="3:12">
      <c r="C2825">
        <v>2100300025</v>
      </c>
      <c r="D2825">
        <v>6426000</v>
      </c>
      <c r="E2825" t="s">
        <v>188</v>
      </c>
      <c r="F2825">
        <v>5210010105</v>
      </c>
      <c r="G2825" s="13">
        <v>2478.5</v>
      </c>
      <c r="I2825" t="s">
        <v>179</v>
      </c>
      <c r="J2825" t="s">
        <v>915</v>
      </c>
      <c r="K2825" t="s">
        <v>180</v>
      </c>
      <c r="L2825">
        <v>200040209</v>
      </c>
    </row>
    <row r="2826" spans="3:12">
      <c r="C2826">
        <v>2100300025</v>
      </c>
      <c r="D2826">
        <v>6426000</v>
      </c>
      <c r="E2826" t="s">
        <v>188</v>
      </c>
      <c r="F2826">
        <v>5210010105</v>
      </c>
      <c r="G2826" s="13">
        <v>7300</v>
      </c>
      <c r="I2826" t="s">
        <v>179</v>
      </c>
      <c r="J2826" t="s">
        <v>919</v>
      </c>
      <c r="K2826" t="s">
        <v>180</v>
      </c>
      <c r="L2826">
        <v>200037506</v>
      </c>
    </row>
    <row r="2827" spans="3:12">
      <c r="C2827">
        <v>2100300025</v>
      </c>
      <c r="D2827">
        <v>6426000</v>
      </c>
      <c r="E2827" t="s">
        <v>188</v>
      </c>
      <c r="F2827">
        <v>5210010105</v>
      </c>
      <c r="G2827" s="13">
        <v>12600</v>
      </c>
      <c r="I2827" t="s">
        <v>179</v>
      </c>
      <c r="J2827" t="s">
        <v>919</v>
      </c>
      <c r="K2827" t="s">
        <v>180</v>
      </c>
      <c r="L2827">
        <v>200037507</v>
      </c>
    </row>
    <row r="2828" spans="3:12">
      <c r="C2828">
        <v>2100300025</v>
      </c>
      <c r="D2828">
        <v>6426000</v>
      </c>
      <c r="E2828" t="s">
        <v>188</v>
      </c>
      <c r="F2828">
        <v>5210010105</v>
      </c>
      <c r="G2828" s="13">
        <v>36380</v>
      </c>
      <c r="I2828" t="s">
        <v>179</v>
      </c>
      <c r="J2828" t="s">
        <v>919</v>
      </c>
      <c r="K2828" t="s">
        <v>180</v>
      </c>
      <c r="L2828">
        <v>200001521</v>
      </c>
    </row>
    <row r="2829" spans="3:12">
      <c r="C2829">
        <v>2100300025</v>
      </c>
      <c r="D2829">
        <v>6426000</v>
      </c>
      <c r="E2829" t="s">
        <v>188</v>
      </c>
      <c r="F2829">
        <v>5210010105</v>
      </c>
      <c r="G2829" s="13">
        <v>38118.75</v>
      </c>
      <c r="I2829" t="s">
        <v>179</v>
      </c>
      <c r="J2829" t="s">
        <v>824</v>
      </c>
      <c r="K2829" t="s">
        <v>180</v>
      </c>
      <c r="L2829">
        <v>200042628</v>
      </c>
    </row>
    <row r="2830" spans="3:12">
      <c r="C2830">
        <v>2100300025</v>
      </c>
      <c r="D2830">
        <v>6426000</v>
      </c>
      <c r="E2830" t="s">
        <v>188</v>
      </c>
      <c r="F2830">
        <v>5210010105</v>
      </c>
      <c r="G2830" s="13">
        <v>14400</v>
      </c>
      <c r="I2830" t="s">
        <v>179</v>
      </c>
      <c r="J2830" t="s">
        <v>824</v>
      </c>
      <c r="K2830" t="s">
        <v>180</v>
      </c>
      <c r="L2830">
        <v>200042552</v>
      </c>
    </row>
    <row r="2831" spans="3:12">
      <c r="C2831">
        <v>2100300025</v>
      </c>
      <c r="D2831">
        <v>6426000</v>
      </c>
      <c r="E2831" t="s">
        <v>188</v>
      </c>
      <c r="F2831">
        <v>5210010105</v>
      </c>
      <c r="G2831" s="13">
        <v>8453</v>
      </c>
      <c r="I2831" t="s">
        <v>179</v>
      </c>
      <c r="J2831" t="s">
        <v>919</v>
      </c>
      <c r="K2831" t="s">
        <v>180</v>
      </c>
      <c r="L2831">
        <v>200036350</v>
      </c>
    </row>
    <row r="2832" spans="3:12">
      <c r="C2832">
        <v>2100300025</v>
      </c>
      <c r="D2832">
        <v>6426000</v>
      </c>
      <c r="E2832" t="s">
        <v>188</v>
      </c>
      <c r="F2832">
        <v>5210010105</v>
      </c>
      <c r="G2832" s="13">
        <v>11076</v>
      </c>
      <c r="I2832" t="s">
        <v>179</v>
      </c>
      <c r="J2832" t="s">
        <v>919</v>
      </c>
      <c r="K2832" t="s">
        <v>180</v>
      </c>
      <c r="L2832">
        <v>200036351</v>
      </c>
    </row>
    <row r="2833" spans="3:12">
      <c r="C2833">
        <v>2100300025</v>
      </c>
      <c r="D2833">
        <v>6426000</v>
      </c>
      <c r="E2833" t="s">
        <v>188</v>
      </c>
      <c r="F2833">
        <v>5210010105</v>
      </c>
      <c r="G2833" s="13">
        <v>4012.5</v>
      </c>
      <c r="I2833" t="s">
        <v>179</v>
      </c>
      <c r="J2833" t="s">
        <v>919</v>
      </c>
      <c r="K2833" t="s">
        <v>180</v>
      </c>
      <c r="L2833">
        <v>200036352</v>
      </c>
    </row>
    <row r="2834" spans="3:12">
      <c r="C2834">
        <v>2100300025</v>
      </c>
      <c r="D2834">
        <v>6426000</v>
      </c>
      <c r="E2834" t="s">
        <v>188</v>
      </c>
      <c r="F2834">
        <v>5210010105</v>
      </c>
      <c r="G2834">
        <v>915.92</v>
      </c>
      <c r="I2834" t="s">
        <v>179</v>
      </c>
      <c r="J2834" t="s">
        <v>919</v>
      </c>
      <c r="K2834" t="s">
        <v>180</v>
      </c>
      <c r="L2834">
        <v>200036353</v>
      </c>
    </row>
    <row r="2835" spans="3:12">
      <c r="C2835">
        <v>2100300025</v>
      </c>
      <c r="D2835">
        <v>6426000</v>
      </c>
      <c r="E2835" t="s">
        <v>188</v>
      </c>
      <c r="F2835">
        <v>5210010105</v>
      </c>
      <c r="G2835" s="13">
        <v>32019.75</v>
      </c>
      <c r="I2835" t="s">
        <v>179</v>
      </c>
      <c r="J2835" t="s">
        <v>919</v>
      </c>
      <c r="K2835" t="s">
        <v>180</v>
      </c>
      <c r="L2835">
        <v>200036354</v>
      </c>
    </row>
    <row r="2836" spans="3:12">
      <c r="C2836">
        <v>2100300025</v>
      </c>
      <c r="D2836">
        <v>6426000</v>
      </c>
      <c r="E2836" t="s">
        <v>188</v>
      </c>
      <c r="F2836">
        <v>5210010105</v>
      </c>
      <c r="G2836" s="13">
        <v>1200</v>
      </c>
      <c r="I2836" t="s">
        <v>179</v>
      </c>
      <c r="J2836" t="s">
        <v>919</v>
      </c>
      <c r="K2836" t="s">
        <v>180</v>
      </c>
      <c r="L2836">
        <v>200036355</v>
      </c>
    </row>
    <row r="2837" spans="3:12">
      <c r="C2837">
        <v>2100300025</v>
      </c>
      <c r="D2837">
        <v>6426000</v>
      </c>
      <c r="E2837" t="s">
        <v>188</v>
      </c>
      <c r="F2837">
        <v>5210010105</v>
      </c>
      <c r="G2837" s="13">
        <v>2996</v>
      </c>
      <c r="I2837" t="s">
        <v>179</v>
      </c>
      <c r="J2837" t="s">
        <v>919</v>
      </c>
      <c r="K2837" t="s">
        <v>180</v>
      </c>
      <c r="L2837">
        <v>200036356</v>
      </c>
    </row>
    <row r="2838" spans="3:12">
      <c r="C2838">
        <v>2100300025</v>
      </c>
      <c r="D2838">
        <v>6426000</v>
      </c>
      <c r="E2838" t="s">
        <v>188</v>
      </c>
      <c r="F2838">
        <v>5210010105</v>
      </c>
      <c r="G2838" s="13">
        <v>18725</v>
      </c>
      <c r="I2838" t="s">
        <v>179</v>
      </c>
      <c r="J2838" t="s">
        <v>919</v>
      </c>
      <c r="K2838" t="s">
        <v>180</v>
      </c>
      <c r="L2838">
        <v>200036357</v>
      </c>
    </row>
    <row r="2839" spans="3:12">
      <c r="C2839">
        <v>2100300025</v>
      </c>
      <c r="D2839">
        <v>6426000</v>
      </c>
      <c r="E2839" t="s">
        <v>188</v>
      </c>
      <c r="F2839">
        <v>5210010105</v>
      </c>
      <c r="G2839" s="13">
        <v>13000</v>
      </c>
      <c r="I2839" t="s">
        <v>179</v>
      </c>
      <c r="J2839" t="s">
        <v>920</v>
      </c>
      <c r="K2839" t="s">
        <v>180</v>
      </c>
      <c r="L2839">
        <v>200038969</v>
      </c>
    </row>
    <row r="2840" spans="3:12">
      <c r="C2840">
        <v>2100300025</v>
      </c>
      <c r="D2840">
        <v>6426000</v>
      </c>
      <c r="E2840" t="s">
        <v>188</v>
      </c>
      <c r="F2840">
        <v>5210010105</v>
      </c>
      <c r="G2840" s="13">
        <v>8840</v>
      </c>
      <c r="I2840" t="s">
        <v>179</v>
      </c>
      <c r="J2840" t="s">
        <v>920</v>
      </c>
      <c r="K2840" t="s">
        <v>180</v>
      </c>
      <c r="L2840">
        <v>200038970</v>
      </c>
    </row>
    <row r="2841" spans="3:12">
      <c r="C2841">
        <v>2100300025</v>
      </c>
      <c r="D2841">
        <v>6426000</v>
      </c>
      <c r="E2841" t="s">
        <v>188</v>
      </c>
      <c r="F2841">
        <v>5210010105</v>
      </c>
      <c r="G2841" s="13">
        <v>41694</v>
      </c>
      <c r="I2841" t="s">
        <v>179</v>
      </c>
      <c r="J2841" t="s">
        <v>825</v>
      </c>
      <c r="K2841" t="s">
        <v>180</v>
      </c>
      <c r="L2841">
        <v>200034168</v>
      </c>
    </row>
    <row r="2842" spans="3:12">
      <c r="C2842">
        <v>2100300025</v>
      </c>
      <c r="D2842">
        <v>6426000</v>
      </c>
      <c r="E2842" t="s">
        <v>188</v>
      </c>
      <c r="F2842">
        <v>5210010105</v>
      </c>
      <c r="G2842" s="13">
        <v>31982.3</v>
      </c>
      <c r="I2842" t="s">
        <v>179</v>
      </c>
      <c r="J2842" t="s">
        <v>825</v>
      </c>
      <c r="K2842" t="s">
        <v>180</v>
      </c>
      <c r="L2842">
        <v>200041733</v>
      </c>
    </row>
    <row r="2843" spans="3:12">
      <c r="C2843">
        <v>2100300025</v>
      </c>
      <c r="D2843">
        <v>6426000</v>
      </c>
      <c r="E2843" t="s">
        <v>188</v>
      </c>
      <c r="F2843">
        <v>5210010105</v>
      </c>
      <c r="G2843" s="13">
        <v>14894.4</v>
      </c>
      <c r="I2843" t="s">
        <v>179</v>
      </c>
      <c r="J2843" t="s">
        <v>825</v>
      </c>
      <c r="K2843" t="s">
        <v>180</v>
      </c>
      <c r="L2843">
        <v>200041683</v>
      </c>
    </row>
    <row r="2844" spans="3:12">
      <c r="C2844">
        <v>2100300025</v>
      </c>
      <c r="D2844">
        <v>6426000</v>
      </c>
      <c r="E2844" t="s">
        <v>188</v>
      </c>
      <c r="F2844">
        <v>5210010105</v>
      </c>
      <c r="G2844" s="13">
        <v>6955</v>
      </c>
      <c r="I2844" t="s">
        <v>179</v>
      </c>
      <c r="J2844" t="s">
        <v>825</v>
      </c>
      <c r="K2844" t="s">
        <v>180</v>
      </c>
      <c r="L2844">
        <v>200041734</v>
      </c>
    </row>
    <row r="2845" spans="3:12">
      <c r="C2845">
        <v>2100300025</v>
      </c>
      <c r="D2845">
        <v>6426000</v>
      </c>
      <c r="E2845" t="s">
        <v>188</v>
      </c>
      <c r="F2845">
        <v>5210010105</v>
      </c>
      <c r="G2845" s="13">
        <v>53180</v>
      </c>
      <c r="I2845" t="s">
        <v>179</v>
      </c>
      <c r="J2845" t="s">
        <v>825</v>
      </c>
      <c r="K2845" t="s">
        <v>180</v>
      </c>
      <c r="L2845">
        <v>200040863</v>
      </c>
    </row>
    <row r="2846" spans="3:12">
      <c r="C2846">
        <v>2100300025</v>
      </c>
      <c r="D2846">
        <v>6426000</v>
      </c>
      <c r="E2846" t="s">
        <v>188</v>
      </c>
      <c r="F2846">
        <v>5210010105</v>
      </c>
      <c r="G2846" s="13">
        <v>133250</v>
      </c>
      <c r="I2846" t="s">
        <v>179</v>
      </c>
      <c r="J2846" t="s">
        <v>825</v>
      </c>
      <c r="K2846" t="s">
        <v>180</v>
      </c>
      <c r="L2846">
        <v>200041685</v>
      </c>
    </row>
    <row r="2847" spans="3:12">
      <c r="C2847">
        <v>2100300025</v>
      </c>
      <c r="D2847">
        <v>6426000</v>
      </c>
      <c r="E2847" t="s">
        <v>188</v>
      </c>
      <c r="F2847">
        <v>5210010105</v>
      </c>
      <c r="G2847" s="13">
        <v>3360</v>
      </c>
      <c r="I2847" t="s">
        <v>179</v>
      </c>
      <c r="J2847" t="s">
        <v>825</v>
      </c>
      <c r="K2847" t="s">
        <v>180</v>
      </c>
      <c r="L2847">
        <v>200040866</v>
      </c>
    </row>
    <row r="2848" spans="3:12">
      <c r="C2848">
        <v>2100300025</v>
      </c>
      <c r="D2848">
        <v>6426000</v>
      </c>
      <c r="E2848" t="s">
        <v>188</v>
      </c>
      <c r="F2848">
        <v>5210010105</v>
      </c>
      <c r="G2848" s="13">
        <v>149907</v>
      </c>
      <c r="I2848" t="s">
        <v>179</v>
      </c>
      <c r="J2848" t="s">
        <v>825</v>
      </c>
      <c r="K2848" t="s">
        <v>180</v>
      </c>
      <c r="L2848">
        <v>200001524</v>
      </c>
    </row>
    <row r="2849" spans="3:12">
      <c r="C2849">
        <v>2100300025</v>
      </c>
      <c r="D2849">
        <v>6426000</v>
      </c>
      <c r="E2849" t="s">
        <v>188</v>
      </c>
      <c r="F2849">
        <v>5210010105</v>
      </c>
      <c r="G2849" s="13">
        <v>622178.25</v>
      </c>
      <c r="I2849" t="s">
        <v>179</v>
      </c>
      <c r="J2849" t="s">
        <v>825</v>
      </c>
      <c r="K2849" t="s">
        <v>180</v>
      </c>
      <c r="L2849">
        <v>200041723</v>
      </c>
    </row>
    <row r="2850" spans="3:12">
      <c r="C2850">
        <v>2100300025</v>
      </c>
      <c r="D2850">
        <v>6426000</v>
      </c>
      <c r="E2850" t="s">
        <v>188</v>
      </c>
      <c r="F2850">
        <v>5210010105</v>
      </c>
      <c r="G2850" s="13">
        <v>2980</v>
      </c>
      <c r="I2850" t="s">
        <v>179</v>
      </c>
      <c r="J2850" t="s">
        <v>799</v>
      </c>
      <c r="K2850" t="s">
        <v>180</v>
      </c>
      <c r="L2850">
        <v>200035887</v>
      </c>
    </row>
    <row r="2851" spans="3:12">
      <c r="C2851">
        <v>2100300025</v>
      </c>
      <c r="D2851">
        <v>6426000</v>
      </c>
      <c r="E2851" t="s">
        <v>188</v>
      </c>
      <c r="F2851">
        <v>5210010105</v>
      </c>
      <c r="G2851" s="13">
        <v>15000</v>
      </c>
      <c r="I2851" t="s">
        <v>179</v>
      </c>
      <c r="J2851" t="s">
        <v>799</v>
      </c>
      <c r="K2851" t="s">
        <v>180</v>
      </c>
      <c r="L2851">
        <v>200035888</v>
      </c>
    </row>
    <row r="2852" spans="3:12">
      <c r="C2852">
        <v>2100300025</v>
      </c>
      <c r="D2852">
        <v>6426000</v>
      </c>
      <c r="E2852" t="s">
        <v>188</v>
      </c>
      <c r="F2852">
        <v>5210010105</v>
      </c>
      <c r="G2852">
        <v>235</v>
      </c>
      <c r="I2852" t="s">
        <v>179</v>
      </c>
      <c r="J2852" t="s">
        <v>799</v>
      </c>
      <c r="K2852" t="s">
        <v>180</v>
      </c>
      <c r="L2852">
        <v>200035889</v>
      </c>
    </row>
    <row r="2853" spans="3:12">
      <c r="C2853">
        <v>2100300025</v>
      </c>
      <c r="D2853">
        <v>6426000</v>
      </c>
      <c r="E2853" t="s">
        <v>188</v>
      </c>
      <c r="F2853">
        <v>5210010105</v>
      </c>
      <c r="G2853" s="13">
        <v>211720</v>
      </c>
      <c r="I2853" t="s">
        <v>179</v>
      </c>
      <c r="J2853" t="s">
        <v>799</v>
      </c>
      <c r="K2853" t="s">
        <v>180</v>
      </c>
      <c r="L2853">
        <v>200035890</v>
      </c>
    </row>
    <row r="2854" spans="3:12">
      <c r="C2854">
        <v>2100300025</v>
      </c>
      <c r="D2854">
        <v>6426000</v>
      </c>
      <c r="E2854" t="s">
        <v>188</v>
      </c>
      <c r="F2854">
        <v>5210010105</v>
      </c>
      <c r="G2854" s="13">
        <v>80193</v>
      </c>
      <c r="I2854" t="s">
        <v>179</v>
      </c>
      <c r="J2854" t="s">
        <v>799</v>
      </c>
      <c r="K2854" t="s">
        <v>180</v>
      </c>
      <c r="L2854">
        <v>200035891</v>
      </c>
    </row>
    <row r="2855" spans="3:12">
      <c r="C2855">
        <v>2100300025</v>
      </c>
      <c r="D2855">
        <v>6426000</v>
      </c>
      <c r="E2855" t="s">
        <v>188</v>
      </c>
      <c r="F2855">
        <v>5210010105</v>
      </c>
      <c r="G2855" s="13">
        <v>2130</v>
      </c>
      <c r="I2855" t="s">
        <v>179</v>
      </c>
      <c r="J2855" t="s">
        <v>799</v>
      </c>
      <c r="K2855" t="s">
        <v>180</v>
      </c>
      <c r="L2855">
        <v>200035892</v>
      </c>
    </row>
    <row r="2856" spans="3:12">
      <c r="C2856">
        <v>2100300025</v>
      </c>
      <c r="D2856">
        <v>6426000</v>
      </c>
      <c r="E2856" t="s">
        <v>188</v>
      </c>
      <c r="F2856">
        <v>5210010105</v>
      </c>
      <c r="G2856" s="13">
        <v>12140</v>
      </c>
      <c r="I2856" t="s">
        <v>179</v>
      </c>
      <c r="J2856" t="s">
        <v>799</v>
      </c>
      <c r="K2856" t="s">
        <v>180</v>
      </c>
      <c r="L2856">
        <v>200035893</v>
      </c>
    </row>
    <row r="2857" spans="3:12">
      <c r="C2857">
        <v>2100300025</v>
      </c>
      <c r="D2857">
        <v>6426000</v>
      </c>
      <c r="E2857" t="s">
        <v>188</v>
      </c>
      <c r="F2857">
        <v>5210010105</v>
      </c>
      <c r="G2857" s="13">
        <v>1630000</v>
      </c>
      <c r="I2857" t="s">
        <v>179</v>
      </c>
      <c r="J2857" t="s">
        <v>827</v>
      </c>
      <c r="K2857" t="s">
        <v>180</v>
      </c>
      <c r="L2857">
        <v>200043427</v>
      </c>
    </row>
    <row r="2858" spans="3:12">
      <c r="C2858">
        <v>2100300025</v>
      </c>
      <c r="D2858">
        <v>6426000</v>
      </c>
      <c r="E2858" t="s">
        <v>188</v>
      </c>
      <c r="F2858">
        <v>5210010105</v>
      </c>
      <c r="G2858" s="13">
        <v>326000</v>
      </c>
      <c r="I2858" t="s">
        <v>179</v>
      </c>
      <c r="J2858" t="s">
        <v>827</v>
      </c>
      <c r="K2858" t="s">
        <v>180</v>
      </c>
      <c r="L2858">
        <v>200041798</v>
      </c>
    </row>
    <row r="2859" spans="3:12">
      <c r="C2859">
        <v>2100300025</v>
      </c>
      <c r="D2859">
        <v>6426000</v>
      </c>
      <c r="E2859" t="s">
        <v>188</v>
      </c>
      <c r="F2859">
        <v>5210010105</v>
      </c>
      <c r="G2859" s="13">
        <v>14670000</v>
      </c>
      <c r="I2859" t="s">
        <v>179</v>
      </c>
      <c r="J2859" t="s">
        <v>827</v>
      </c>
      <c r="K2859" t="s">
        <v>180</v>
      </c>
      <c r="L2859">
        <v>200043428</v>
      </c>
    </row>
    <row r="2860" spans="3:12">
      <c r="C2860">
        <v>2100300025</v>
      </c>
      <c r="D2860">
        <v>6426000</v>
      </c>
      <c r="E2860" t="s">
        <v>188</v>
      </c>
      <c r="F2860">
        <v>5210010105</v>
      </c>
      <c r="G2860" s="13">
        <v>3450</v>
      </c>
      <c r="I2860" t="s">
        <v>179</v>
      </c>
      <c r="J2860" t="s">
        <v>922</v>
      </c>
      <c r="K2860" t="s">
        <v>180</v>
      </c>
      <c r="L2860">
        <v>200048074</v>
      </c>
    </row>
    <row r="2861" spans="3:12">
      <c r="C2861">
        <v>2100300025</v>
      </c>
      <c r="D2861">
        <v>6426000</v>
      </c>
      <c r="E2861" t="s">
        <v>188</v>
      </c>
      <c r="F2861">
        <v>5210010105</v>
      </c>
      <c r="G2861">
        <v>125</v>
      </c>
      <c r="I2861" t="s">
        <v>179</v>
      </c>
      <c r="J2861" t="s">
        <v>922</v>
      </c>
      <c r="K2861" t="s">
        <v>180</v>
      </c>
      <c r="L2861">
        <v>200048075</v>
      </c>
    </row>
    <row r="2862" spans="3:12">
      <c r="C2862">
        <v>2100300025</v>
      </c>
      <c r="D2862">
        <v>6426000</v>
      </c>
      <c r="E2862" t="s">
        <v>188</v>
      </c>
      <c r="F2862">
        <v>5210010105</v>
      </c>
      <c r="G2862">
        <v>420</v>
      </c>
      <c r="I2862" t="s">
        <v>179</v>
      </c>
      <c r="J2862" t="s">
        <v>922</v>
      </c>
      <c r="K2862" t="s">
        <v>180</v>
      </c>
      <c r="L2862">
        <v>200048076</v>
      </c>
    </row>
    <row r="2863" spans="3:12">
      <c r="C2863">
        <v>2100300025</v>
      </c>
      <c r="D2863">
        <v>6426000</v>
      </c>
      <c r="E2863" t="s">
        <v>188</v>
      </c>
      <c r="F2863">
        <v>5210010105</v>
      </c>
      <c r="G2863" s="13">
        <v>1273500</v>
      </c>
      <c r="I2863" t="s">
        <v>179</v>
      </c>
      <c r="J2863" t="s">
        <v>923</v>
      </c>
      <c r="K2863" t="s">
        <v>180</v>
      </c>
      <c r="L2863">
        <v>200049382</v>
      </c>
    </row>
    <row r="2864" spans="3:12">
      <c r="C2864">
        <v>2100300025</v>
      </c>
      <c r="D2864">
        <v>6426000</v>
      </c>
      <c r="E2864" t="s">
        <v>188</v>
      </c>
      <c r="F2864">
        <v>5210010105</v>
      </c>
      <c r="G2864" s="13">
        <v>36350</v>
      </c>
      <c r="I2864" t="s">
        <v>179</v>
      </c>
      <c r="J2864" t="s">
        <v>923</v>
      </c>
      <c r="K2864" t="s">
        <v>180</v>
      </c>
      <c r="L2864">
        <v>200049383</v>
      </c>
    </row>
    <row r="2865" spans="3:12">
      <c r="C2865">
        <v>2100300025</v>
      </c>
      <c r="D2865">
        <v>6426000</v>
      </c>
      <c r="E2865" t="s">
        <v>188</v>
      </c>
      <c r="F2865">
        <v>5210010105</v>
      </c>
      <c r="G2865" s="13">
        <v>7683.93</v>
      </c>
      <c r="I2865" t="s">
        <v>179</v>
      </c>
      <c r="J2865" t="s">
        <v>828</v>
      </c>
      <c r="K2865" t="s">
        <v>180</v>
      </c>
      <c r="L2865">
        <v>200045945</v>
      </c>
    </row>
    <row r="2866" spans="3:12">
      <c r="C2866">
        <v>2100300025</v>
      </c>
      <c r="D2866">
        <v>6426000</v>
      </c>
      <c r="E2866" t="s">
        <v>188</v>
      </c>
      <c r="F2866">
        <v>5210010105</v>
      </c>
      <c r="G2866" s="13">
        <v>4700</v>
      </c>
      <c r="I2866" t="s">
        <v>179</v>
      </c>
      <c r="J2866" t="s">
        <v>828</v>
      </c>
      <c r="K2866" t="s">
        <v>180</v>
      </c>
      <c r="L2866">
        <v>200045946</v>
      </c>
    </row>
    <row r="2867" spans="3:12">
      <c r="C2867">
        <v>2100300025</v>
      </c>
      <c r="D2867">
        <v>6426000</v>
      </c>
      <c r="E2867" t="s">
        <v>188</v>
      </c>
      <c r="F2867">
        <v>5210010105</v>
      </c>
      <c r="G2867" s="13">
        <v>10657.2</v>
      </c>
      <c r="I2867" t="s">
        <v>179</v>
      </c>
      <c r="J2867" t="s">
        <v>829</v>
      </c>
      <c r="K2867" t="s">
        <v>180</v>
      </c>
      <c r="L2867">
        <v>200050978</v>
      </c>
    </row>
    <row r="2868" spans="3:12">
      <c r="C2868">
        <v>2100300025</v>
      </c>
      <c r="D2868">
        <v>6426000</v>
      </c>
      <c r="E2868" t="s">
        <v>188</v>
      </c>
      <c r="F2868">
        <v>5210010105</v>
      </c>
      <c r="G2868">
        <v>642</v>
      </c>
      <c r="I2868" t="s">
        <v>179</v>
      </c>
      <c r="J2868" t="s">
        <v>829</v>
      </c>
      <c r="K2868" t="s">
        <v>180</v>
      </c>
      <c r="L2868">
        <v>200050979</v>
      </c>
    </row>
    <row r="2869" spans="3:12">
      <c r="C2869">
        <v>2100300025</v>
      </c>
      <c r="D2869">
        <v>6426000</v>
      </c>
      <c r="E2869" t="s">
        <v>188</v>
      </c>
      <c r="F2869">
        <v>5210010105</v>
      </c>
      <c r="G2869" s="13">
        <v>2354</v>
      </c>
      <c r="I2869" t="s">
        <v>179</v>
      </c>
      <c r="J2869" t="s">
        <v>829</v>
      </c>
      <c r="K2869" t="s">
        <v>180</v>
      </c>
      <c r="L2869">
        <v>200050980</v>
      </c>
    </row>
    <row r="2870" spans="3:12">
      <c r="C2870">
        <v>2100300025</v>
      </c>
      <c r="D2870">
        <v>6426000</v>
      </c>
      <c r="E2870" t="s">
        <v>188</v>
      </c>
      <c r="F2870">
        <v>5210010105</v>
      </c>
      <c r="G2870" s="13">
        <v>24075</v>
      </c>
      <c r="I2870" t="s">
        <v>179</v>
      </c>
      <c r="J2870" t="s">
        <v>829</v>
      </c>
      <c r="K2870" t="s">
        <v>180</v>
      </c>
      <c r="L2870">
        <v>200050981</v>
      </c>
    </row>
    <row r="2871" spans="3:12">
      <c r="C2871">
        <v>2100300025</v>
      </c>
      <c r="D2871">
        <v>6426000</v>
      </c>
      <c r="E2871" t="s">
        <v>188</v>
      </c>
      <c r="F2871">
        <v>5210010105</v>
      </c>
      <c r="G2871" s="13">
        <v>16906</v>
      </c>
      <c r="I2871" t="s">
        <v>179</v>
      </c>
      <c r="J2871" t="s">
        <v>829</v>
      </c>
      <c r="K2871" t="s">
        <v>180</v>
      </c>
      <c r="L2871">
        <v>200050982</v>
      </c>
    </row>
    <row r="2872" spans="3:12">
      <c r="C2872">
        <v>2100300025</v>
      </c>
      <c r="D2872">
        <v>6426000</v>
      </c>
      <c r="E2872" t="s">
        <v>188</v>
      </c>
      <c r="F2872">
        <v>5210010105</v>
      </c>
      <c r="G2872" s="13">
        <v>3745</v>
      </c>
      <c r="I2872" t="s">
        <v>179</v>
      </c>
      <c r="J2872" t="s">
        <v>829</v>
      </c>
      <c r="K2872" t="s">
        <v>180</v>
      </c>
      <c r="L2872">
        <v>200051333</v>
      </c>
    </row>
    <row r="2873" spans="3:12">
      <c r="C2873">
        <v>2100300025</v>
      </c>
      <c r="D2873">
        <v>6426000</v>
      </c>
      <c r="E2873" t="s">
        <v>188</v>
      </c>
      <c r="F2873">
        <v>5210010105</v>
      </c>
      <c r="G2873" s="13">
        <v>3482.85</v>
      </c>
      <c r="I2873" t="s">
        <v>179</v>
      </c>
      <c r="J2873" t="s">
        <v>829</v>
      </c>
      <c r="K2873" t="s">
        <v>180</v>
      </c>
      <c r="L2873">
        <v>200051554</v>
      </c>
    </row>
    <row r="2874" spans="3:12">
      <c r="C2874">
        <v>2100300025</v>
      </c>
      <c r="D2874">
        <v>6426000</v>
      </c>
      <c r="E2874" t="s">
        <v>188</v>
      </c>
      <c r="F2874">
        <v>5210010105</v>
      </c>
      <c r="G2874" s="13">
        <v>3000</v>
      </c>
      <c r="I2874" t="s">
        <v>179</v>
      </c>
      <c r="J2874" t="s">
        <v>829</v>
      </c>
      <c r="K2874" t="s">
        <v>180</v>
      </c>
      <c r="L2874">
        <v>200050988</v>
      </c>
    </row>
    <row r="2875" spans="3:12">
      <c r="C2875">
        <v>2100300025</v>
      </c>
      <c r="D2875">
        <v>6426000</v>
      </c>
      <c r="E2875" t="s">
        <v>188</v>
      </c>
      <c r="F2875">
        <v>5210010105</v>
      </c>
      <c r="G2875" s="13">
        <v>4060</v>
      </c>
      <c r="I2875" t="s">
        <v>179</v>
      </c>
      <c r="J2875" t="s">
        <v>829</v>
      </c>
      <c r="K2875" t="s">
        <v>180</v>
      </c>
      <c r="L2875">
        <v>200051557</v>
      </c>
    </row>
    <row r="2876" spans="3:12">
      <c r="C2876">
        <v>2100300025</v>
      </c>
      <c r="D2876">
        <v>6426000</v>
      </c>
      <c r="E2876" t="s">
        <v>188</v>
      </c>
      <c r="F2876">
        <v>5210010105</v>
      </c>
      <c r="G2876" s="13">
        <v>2000</v>
      </c>
      <c r="I2876" t="s">
        <v>179</v>
      </c>
      <c r="J2876" t="s">
        <v>830</v>
      </c>
      <c r="K2876" t="s">
        <v>180</v>
      </c>
      <c r="L2876">
        <v>200046023</v>
      </c>
    </row>
    <row r="2877" spans="3:12">
      <c r="C2877">
        <v>2100300025</v>
      </c>
      <c r="D2877">
        <v>6426000</v>
      </c>
      <c r="E2877" t="s">
        <v>188</v>
      </c>
      <c r="F2877">
        <v>5210010105</v>
      </c>
      <c r="G2877" s="13">
        <v>16585</v>
      </c>
      <c r="I2877" t="s">
        <v>179</v>
      </c>
      <c r="J2877" t="s">
        <v>830</v>
      </c>
      <c r="K2877" t="s">
        <v>180</v>
      </c>
      <c r="L2877">
        <v>200045939</v>
      </c>
    </row>
    <row r="2878" spans="3:12">
      <c r="C2878">
        <v>2100300025</v>
      </c>
      <c r="D2878">
        <v>6426000</v>
      </c>
      <c r="E2878" t="s">
        <v>188</v>
      </c>
      <c r="F2878">
        <v>5210010105</v>
      </c>
      <c r="G2878" s="13">
        <v>9000</v>
      </c>
      <c r="I2878" t="s">
        <v>179</v>
      </c>
      <c r="J2878" t="s">
        <v>830</v>
      </c>
      <c r="K2878" t="s">
        <v>180</v>
      </c>
      <c r="L2878">
        <v>200045482</v>
      </c>
    </row>
    <row r="2879" spans="3:12">
      <c r="C2879">
        <v>2100300025</v>
      </c>
      <c r="D2879">
        <v>6426000</v>
      </c>
      <c r="E2879" t="s">
        <v>188</v>
      </c>
      <c r="F2879">
        <v>5210010105</v>
      </c>
      <c r="G2879" s="13">
        <v>167000</v>
      </c>
      <c r="I2879" t="s">
        <v>179</v>
      </c>
      <c r="J2879" t="s">
        <v>830</v>
      </c>
      <c r="K2879" t="s">
        <v>180</v>
      </c>
      <c r="L2879">
        <v>200045524</v>
      </c>
    </row>
    <row r="2880" spans="3:12">
      <c r="C2880">
        <v>2100300025</v>
      </c>
      <c r="D2880">
        <v>6426000</v>
      </c>
      <c r="E2880" t="s">
        <v>188</v>
      </c>
      <c r="F2880">
        <v>5210010105</v>
      </c>
      <c r="G2880" s="13">
        <v>4182</v>
      </c>
      <c r="I2880" t="s">
        <v>179</v>
      </c>
      <c r="J2880" t="s">
        <v>926</v>
      </c>
      <c r="K2880" t="s">
        <v>180</v>
      </c>
      <c r="L2880">
        <v>200055303</v>
      </c>
    </row>
    <row r="2881" spans="3:12">
      <c r="C2881">
        <v>2100300025</v>
      </c>
      <c r="D2881">
        <v>6426000</v>
      </c>
      <c r="E2881" t="s">
        <v>188</v>
      </c>
      <c r="F2881">
        <v>5210010105</v>
      </c>
      <c r="G2881" s="13">
        <v>66635.199999999997</v>
      </c>
      <c r="I2881" t="s">
        <v>179</v>
      </c>
      <c r="J2881" t="s">
        <v>916</v>
      </c>
      <c r="K2881" t="s">
        <v>180</v>
      </c>
      <c r="L2881">
        <v>200037364</v>
      </c>
    </row>
    <row r="2882" spans="3:12">
      <c r="C2882">
        <v>2100300025</v>
      </c>
      <c r="D2882">
        <v>6426000</v>
      </c>
      <c r="E2882" t="s">
        <v>188</v>
      </c>
      <c r="F2882">
        <v>5210010105</v>
      </c>
      <c r="G2882" s="13">
        <v>45932.959999999999</v>
      </c>
      <c r="I2882" t="s">
        <v>179</v>
      </c>
      <c r="J2882" t="s">
        <v>916</v>
      </c>
      <c r="K2882" t="s">
        <v>180</v>
      </c>
      <c r="L2882">
        <v>200037868</v>
      </c>
    </row>
    <row r="2883" spans="3:12">
      <c r="C2883">
        <v>2100300025</v>
      </c>
      <c r="D2883">
        <v>6426000</v>
      </c>
      <c r="E2883" t="s">
        <v>188</v>
      </c>
      <c r="F2883">
        <v>5210010105</v>
      </c>
      <c r="G2883" s="13">
        <v>326000</v>
      </c>
      <c r="I2883" t="s">
        <v>179</v>
      </c>
      <c r="J2883" t="s">
        <v>915</v>
      </c>
      <c r="K2883" t="s">
        <v>180</v>
      </c>
      <c r="L2883">
        <v>200039894</v>
      </c>
    </row>
    <row r="2884" spans="3:12">
      <c r="C2884">
        <v>2100300025</v>
      </c>
      <c r="D2884">
        <v>6426000</v>
      </c>
      <c r="E2884" t="s">
        <v>188</v>
      </c>
      <c r="F2884">
        <v>5210010105</v>
      </c>
      <c r="G2884" s="13">
        <v>6000</v>
      </c>
      <c r="I2884" t="s">
        <v>179</v>
      </c>
      <c r="J2884" t="s">
        <v>920</v>
      </c>
      <c r="K2884" t="s">
        <v>180</v>
      </c>
      <c r="L2884">
        <v>200039415</v>
      </c>
    </row>
    <row r="2885" spans="3:12">
      <c r="C2885">
        <v>2100300025</v>
      </c>
      <c r="D2885">
        <v>6426000</v>
      </c>
      <c r="E2885" t="s">
        <v>188</v>
      </c>
      <c r="F2885">
        <v>5210010105</v>
      </c>
      <c r="G2885" s="13">
        <v>2225</v>
      </c>
      <c r="I2885" t="s">
        <v>179</v>
      </c>
      <c r="J2885" t="s">
        <v>825</v>
      </c>
      <c r="K2885" t="s">
        <v>180</v>
      </c>
      <c r="L2885">
        <v>200036526</v>
      </c>
    </row>
    <row r="2886" spans="3:12">
      <c r="C2886">
        <v>2100300025</v>
      </c>
      <c r="D2886">
        <v>6426000</v>
      </c>
      <c r="E2886" t="s">
        <v>188</v>
      </c>
      <c r="F2886">
        <v>5210010105</v>
      </c>
      <c r="G2886" s="13">
        <v>17685.8</v>
      </c>
      <c r="I2886" t="s">
        <v>179</v>
      </c>
      <c r="J2886" t="s">
        <v>923</v>
      </c>
      <c r="K2886" t="s">
        <v>180</v>
      </c>
      <c r="L2886">
        <v>200049384</v>
      </c>
    </row>
    <row r="2887" spans="3:12">
      <c r="C2887">
        <v>2100300025</v>
      </c>
      <c r="D2887">
        <v>6426000</v>
      </c>
      <c r="E2887" t="s">
        <v>188</v>
      </c>
      <c r="F2887">
        <v>5210010105</v>
      </c>
      <c r="G2887" s="13">
        <v>5760</v>
      </c>
      <c r="I2887" t="s">
        <v>179</v>
      </c>
      <c r="J2887" t="s">
        <v>926</v>
      </c>
      <c r="K2887" t="s">
        <v>180</v>
      </c>
      <c r="L2887">
        <v>200054568</v>
      </c>
    </row>
    <row r="2888" spans="3:12">
      <c r="C2888">
        <v>2100300025</v>
      </c>
      <c r="D2888">
        <v>6426000</v>
      </c>
      <c r="E2888" t="s">
        <v>188</v>
      </c>
      <c r="F2888">
        <v>5210010105</v>
      </c>
      <c r="G2888" s="13">
        <v>2650</v>
      </c>
      <c r="I2888" t="s">
        <v>179</v>
      </c>
      <c r="J2888" t="s">
        <v>830</v>
      </c>
      <c r="K2888" t="s">
        <v>180</v>
      </c>
      <c r="L2888">
        <v>200045464</v>
      </c>
    </row>
    <row r="2889" spans="3:12">
      <c r="C2889">
        <v>2100300025</v>
      </c>
      <c r="D2889">
        <v>6426000</v>
      </c>
      <c r="E2889" t="s">
        <v>188</v>
      </c>
      <c r="F2889">
        <v>5210010105</v>
      </c>
      <c r="G2889" s="13">
        <v>1630</v>
      </c>
      <c r="I2889" t="s">
        <v>179</v>
      </c>
      <c r="J2889" t="s">
        <v>830</v>
      </c>
      <c r="K2889" t="s">
        <v>180</v>
      </c>
      <c r="L2889">
        <v>200045465</v>
      </c>
    </row>
    <row r="2890" spans="3:12">
      <c r="C2890">
        <v>2100300025</v>
      </c>
      <c r="D2890">
        <v>6426000</v>
      </c>
      <c r="E2890" t="s">
        <v>188</v>
      </c>
      <c r="F2890">
        <v>5210010105</v>
      </c>
      <c r="G2890" s="13">
        <v>1653.15</v>
      </c>
      <c r="I2890" t="s">
        <v>179</v>
      </c>
      <c r="J2890" t="s">
        <v>830</v>
      </c>
      <c r="K2890" t="s">
        <v>180</v>
      </c>
      <c r="L2890">
        <v>200045466</v>
      </c>
    </row>
    <row r="2891" spans="3:12">
      <c r="C2891">
        <v>2100300025</v>
      </c>
      <c r="D2891">
        <v>6426000</v>
      </c>
      <c r="E2891" t="s">
        <v>188</v>
      </c>
      <c r="F2891">
        <v>5210010105</v>
      </c>
      <c r="G2891" s="13">
        <v>37664</v>
      </c>
      <c r="I2891" t="s">
        <v>179</v>
      </c>
      <c r="J2891" t="s">
        <v>830</v>
      </c>
      <c r="K2891" t="s">
        <v>180</v>
      </c>
      <c r="L2891">
        <v>200045467</v>
      </c>
    </row>
    <row r="2892" spans="3:12">
      <c r="C2892">
        <v>2100300025</v>
      </c>
      <c r="D2892">
        <v>6426000</v>
      </c>
      <c r="E2892" t="s">
        <v>188</v>
      </c>
      <c r="F2892">
        <v>5210010105</v>
      </c>
      <c r="G2892" s="13">
        <v>2500</v>
      </c>
      <c r="I2892" t="s">
        <v>179</v>
      </c>
      <c r="J2892" t="s">
        <v>830</v>
      </c>
      <c r="K2892" t="s">
        <v>180</v>
      </c>
      <c r="L2892">
        <v>200036541</v>
      </c>
    </row>
    <row r="2893" spans="3:12">
      <c r="C2893">
        <v>2100300025</v>
      </c>
      <c r="D2893">
        <v>6426000</v>
      </c>
      <c r="E2893" t="s">
        <v>188</v>
      </c>
      <c r="F2893">
        <v>5210010105</v>
      </c>
      <c r="G2893">
        <v>800</v>
      </c>
      <c r="I2893" t="s">
        <v>179</v>
      </c>
      <c r="J2893" t="s">
        <v>801</v>
      </c>
      <c r="K2893" t="s">
        <v>180</v>
      </c>
      <c r="L2893">
        <v>200048513</v>
      </c>
    </row>
    <row r="2894" spans="3:12">
      <c r="C2894">
        <v>2100300025</v>
      </c>
      <c r="D2894">
        <v>6426000</v>
      </c>
      <c r="E2894" t="s">
        <v>188</v>
      </c>
      <c r="F2894">
        <v>5210010105</v>
      </c>
      <c r="G2894">
        <v>140</v>
      </c>
      <c r="I2894" t="s">
        <v>179</v>
      </c>
      <c r="J2894" t="s">
        <v>801</v>
      </c>
      <c r="K2894" t="s">
        <v>180</v>
      </c>
      <c r="L2894">
        <v>200048172</v>
      </c>
    </row>
    <row r="2895" spans="3:12">
      <c r="C2895">
        <v>2100300025</v>
      </c>
      <c r="D2895">
        <v>6426000</v>
      </c>
      <c r="E2895" t="s">
        <v>188</v>
      </c>
      <c r="F2895">
        <v>5210010105</v>
      </c>
      <c r="G2895" s="13">
        <v>4854</v>
      </c>
      <c r="I2895" t="s">
        <v>179</v>
      </c>
      <c r="J2895" t="s">
        <v>801</v>
      </c>
      <c r="K2895" t="s">
        <v>180</v>
      </c>
      <c r="L2895">
        <v>200048173</v>
      </c>
    </row>
    <row r="2896" spans="3:12">
      <c r="C2896">
        <v>2100300025</v>
      </c>
      <c r="D2896">
        <v>6426000</v>
      </c>
      <c r="E2896" t="s">
        <v>188</v>
      </c>
      <c r="F2896">
        <v>5210010105</v>
      </c>
      <c r="G2896" s="13">
        <v>20500</v>
      </c>
      <c r="I2896" t="s">
        <v>179</v>
      </c>
      <c r="J2896" t="s">
        <v>801</v>
      </c>
      <c r="K2896" t="s">
        <v>180</v>
      </c>
      <c r="L2896">
        <v>200047967</v>
      </c>
    </row>
    <row r="2897" spans="3:12">
      <c r="C2897">
        <v>2100300025</v>
      </c>
      <c r="D2897">
        <v>6426000</v>
      </c>
      <c r="E2897" t="s">
        <v>188</v>
      </c>
      <c r="F2897">
        <v>5210010105</v>
      </c>
      <c r="G2897" s="13">
        <v>5400</v>
      </c>
      <c r="I2897" t="s">
        <v>179</v>
      </c>
      <c r="J2897" t="s">
        <v>801</v>
      </c>
      <c r="K2897" t="s">
        <v>180</v>
      </c>
      <c r="L2897">
        <v>200047968</v>
      </c>
    </row>
    <row r="2898" spans="3:12">
      <c r="C2898">
        <v>2100300025</v>
      </c>
      <c r="D2898">
        <v>6426000</v>
      </c>
      <c r="E2898" t="s">
        <v>188</v>
      </c>
      <c r="F2898">
        <v>5210010105</v>
      </c>
      <c r="G2898">
        <v>200</v>
      </c>
      <c r="I2898" t="s">
        <v>179</v>
      </c>
      <c r="J2898" t="s">
        <v>801</v>
      </c>
      <c r="K2898" t="s">
        <v>180</v>
      </c>
      <c r="L2898">
        <v>200047969</v>
      </c>
    </row>
    <row r="2899" spans="3:12">
      <c r="C2899">
        <v>2100300025</v>
      </c>
      <c r="D2899">
        <v>6426000</v>
      </c>
      <c r="E2899" t="s">
        <v>188</v>
      </c>
      <c r="F2899">
        <v>5210010105</v>
      </c>
      <c r="G2899">
        <v>427</v>
      </c>
      <c r="I2899" t="s">
        <v>179</v>
      </c>
      <c r="J2899" t="s">
        <v>801</v>
      </c>
      <c r="K2899" t="s">
        <v>180</v>
      </c>
      <c r="L2899">
        <v>200047970</v>
      </c>
    </row>
    <row r="2900" spans="3:12">
      <c r="C2900">
        <v>2100300025</v>
      </c>
      <c r="D2900">
        <v>6426000</v>
      </c>
      <c r="E2900" t="s">
        <v>188</v>
      </c>
      <c r="F2900">
        <v>5210010105</v>
      </c>
      <c r="G2900" s="13">
        <v>5485</v>
      </c>
      <c r="I2900" t="s">
        <v>179</v>
      </c>
      <c r="J2900" t="s">
        <v>801</v>
      </c>
      <c r="K2900" t="s">
        <v>180</v>
      </c>
      <c r="L2900">
        <v>200047971</v>
      </c>
    </row>
    <row r="2901" spans="3:12">
      <c r="C2901">
        <v>2100300025</v>
      </c>
      <c r="D2901">
        <v>6426000</v>
      </c>
      <c r="E2901" t="s">
        <v>188</v>
      </c>
      <c r="F2901">
        <v>5210010105</v>
      </c>
      <c r="G2901" s="13">
        <v>210520</v>
      </c>
      <c r="I2901" t="s">
        <v>179</v>
      </c>
      <c r="J2901" t="s">
        <v>801</v>
      </c>
      <c r="K2901" t="s">
        <v>180</v>
      </c>
      <c r="L2901">
        <v>200047972</v>
      </c>
    </row>
    <row r="2902" spans="3:12">
      <c r="C2902">
        <v>2100300025</v>
      </c>
      <c r="D2902">
        <v>6426000</v>
      </c>
      <c r="E2902" t="s">
        <v>188</v>
      </c>
      <c r="F2902">
        <v>5210010105</v>
      </c>
      <c r="G2902" s="13">
        <v>113206</v>
      </c>
      <c r="I2902" t="s">
        <v>179</v>
      </c>
      <c r="J2902" t="s">
        <v>801</v>
      </c>
      <c r="K2902" t="s">
        <v>180</v>
      </c>
      <c r="L2902">
        <v>200047973</v>
      </c>
    </row>
    <row r="2903" spans="3:12">
      <c r="C2903">
        <v>2100300025</v>
      </c>
      <c r="D2903">
        <v>6426000</v>
      </c>
      <c r="E2903" t="s">
        <v>188</v>
      </c>
      <c r="F2903">
        <v>5210010105</v>
      </c>
      <c r="G2903" s="13">
        <v>8996</v>
      </c>
      <c r="I2903" t="s">
        <v>179</v>
      </c>
      <c r="J2903" t="s">
        <v>801</v>
      </c>
      <c r="K2903" t="s">
        <v>180</v>
      </c>
      <c r="L2903">
        <v>200046538</v>
      </c>
    </row>
    <row r="2904" spans="3:12">
      <c r="C2904">
        <v>2100300025</v>
      </c>
      <c r="D2904">
        <v>6426000</v>
      </c>
      <c r="E2904" t="s">
        <v>188</v>
      </c>
      <c r="F2904">
        <v>5210010105</v>
      </c>
      <c r="G2904" s="13">
        <v>84100</v>
      </c>
      <c r="I2904" t="s">
        <v>179</v>
      </c>
      <c r="J2904" t="s">
        <v>801</v>
      </c>
      <c r="K2904" t="s">
        <v>180</v>
      </c>
      <c r="L2904">
        <v>200047974</v>
      </c>
    </row>
    <row r="2905" spans="3:12">
      <c r="C2905">
        <v>2100300025</v>
      </c>
      <c r="D2905">
        <v>6426000</v>
      </c>
      <c r="E2905" t="s">
        <v>188</v>
      </c>
      <c r="F2905">
        <v>5210010105</v>
      </c>
      <c r="G2905" s="13">
        <v>8996</v>
      </c>
      <c r="I2905" t="s">
        <v>179</v>
      </c>
      <c r="J2905" t="s">
        <v>801</v>
      </c>
      <c r="K2905" t="s">
        <v>180</v>
      </c>
      <c r="L2905">
        <v>200048175</v>
      </c>
    </row>
    <row r="2906" spans="3:12">
      <c r="C2906">
        <v>2100300025</v>
      </c>
      <c r="D2906">
        <v>6426000</v>
      </c>
      <c r="E2906" t="s">
        <v>188</v>
      </c>
      <c r="F2906">
        <v>5210010105</v>
      </c>
      <c r="G2906">
        <v>675</v>
      </c>
      <c r="I2906" t="s">
        <v>179</v>
      </c>
      <c r="J2906" t="s">
        <v>926</v>
      </c>
      <c r="K2906" t="s">
        <v>180</v>
      </c>
      <c r="L2906">
        <v>200054479</v>
      </c>
    </row>
    <row r="2907" spans="3:12">
      <c r="C2907">
        <v>2100300025</v>
      </c>
      <c r="D2907">
        <v>6426000</v>
      </c>
      <c r="E2907" t="s">
        <v>188</v>
      </c>
      <c r="F2907">
        <v>5210010105</v>
      </c>
      <c r="G2907">
        <v>675</v>
      </c>
      <c r="I2907" t="s">
        <v>179</v>
      </c>
      <c r="J2907" t="s">
        <v>926</v>
      </c>
      <c r="K2907" t="s">
        <v>180</v>
      </c>
      <c r="L2907">
        <v>200054481</v>
      </c>
    </row>
    <row r="2908" spans="3:12">
      <c r="C2908">
        <v>2100300025</v>
      </c>
      <c r="D2908">
        <v>6426000</v>
      </c>
      <c r="E2908" t="s">
        <v>188</v>
      </c>
      <c r="F2908">
        <v>5210010105</v>
      </c>
      <c r="G2908" s="13">
        <v>13983.1</v>
      </c>
      <c r="I2908" t="s">
        <v>179</v>
      </c>
      <c r="J2908" t="s">
        <v>926</v>
      </c>
      <c r="K2908" t="s">
        <v>180</v>
      </c>
      <c r="L2908">
        <v>200054922</v>
      </c>
    </row>
    <row r="2909" spans="3:12">
      <c r="C2909">
        <v>2100300025</v>
      </c>
      <c r="D2909">
        <v>6426000</v>
      </c>
      <c r="E2909" t="s">
        <v>188</v>
      </c>
      <c r="F2909">
        <v>5210010105</v>
      </c>
      <c r="G2909" s="13">
        <v>7500</v>
      </c>
      <c r="I2909" t="s">
        <v>179</v>
      </c>
      <c r="J2909" t="s">
        <v>926</v>
      </c>
      <c r="K2909" t="s">
        <v>180</v>
      </c>
      <c r="L2909">
        <v>200054923</v>
      </c>
    </row>
    <row r="2910" spans="3:12">
      <c r="C2910">
        <v>2100300025</v>
      </c>
      <c r="D2910">
        <v>6426000</v>
      </c>
      <c r="E2910" t="s">
        <v>188</v>
      </c>
      <c r="F2910">
        <v>5210010105</v>
      </c>
      <c r="G2910" s="13">
        <v>1200</v>
      </c>
      <c r="I2910" t="s">
        <v>179</v>
      </c>
      <c r="J2910" t="s">
        <v>926</v>
      </c>
      <c r="K2910" t="s">
        <v>180</v>
      </c>
      <c r="L2910">
        <v>200054484</v>
      </c>
    </row>
    <row r="2911" spans="3:12">
      <c r="C2911">
        <v>2100300025</v>
      </c>
      <c r="D2911">
        <v>6426000</v>
      </c>
      <c r="E2911" t="s">
        <v>188</v>
      </c>
      <c r="F2911">
        <v>5210010105</v>
      </c>
      <c r="G2911" s="13">
        <v>1100</v>
      </c>
      <c r="I2911" t="s">
        <v>179</v>
      </c>
      <c r="J2911" t="s">
        <v>926</v>
      </c>
      <c r="K2911" t="s">
        <v>180</v>
      </c>
      <c r="L2911">
        <v>200054485</v>
      </c>
    </row>
    <row r="2912" spans="3:12">
      <c r="C2912">
        <v>2100300025</v>
      </c>
      <c r="D2912">
        <v>6426000</v>
      </c>
      <c r="E2912" t="s">
        <v>188</v>
      </c>
      <c r="F2912">
        <v>5210010105</v>
      </c>
      <c r="G2912">
        <v>855</v>
      </c>
      <c r="I2912" t="s">
        <v>179</v>
      </c>
      <c r="J2912" t="s">
        <v>926</v>
      </c>
      <c r="K2912" t="s">
        <v>180</v>
      </c>
      <c r="L2912">
        <v>200054486</v>
      </c>
    </row>
    <row r="2913" spans="3:12">
      <c r="C2913">
        <v>2100300025</v>
      </c>
      <c r="D2913">
        <v>6426000</v>
      </c>
      <c r="E2913" t="s">
        <v>188</v>
      </c>
      <c r="F2913">
        <v>5210010105</v>
      </c>
      <c r="G2913" s="13">
        <v>1945</v>
      </c>
      <c r="I2913" t="s">
        <v>179</v>
      </c>
      <c r="J2913" t="s">
        <v>926</v>
      </c>
      <c r="K2913" t="s">
        <v>180</v>
      </c>
      <c r="L2913">
        <v>200054487</v>
      </c>
    </row>
    <row r="2914" spans="3:12">
      <c r="C2914">
        <v>2100300025</v>
      </c>
      <c r="D2914">
        <v>6426000</v>
      </c>
      <c r="E2914" t="s">
        <v>188</v>
      </c>
      <c r="F2914">
        <v>5210010105</v>
      </c>
      <c r="G2914" s="13">
        <v>6300</v>
      </c>
      <c r="I2914" t="s">
        <v>179</v>
      </c>
      <c r="J2914" t="s">
        <v>564</v>
      </c>
      <c r="K2914" t="s">
        <v>180</v>
      </c>
      <c r="L2914">
        <v>200045271</v>
      </c>
    </row>
    <row r="2915" spans="3:12">
      <c r="C2915">
        <v>2100300025</v>
      </c>
      <c r="D2915">
        <v>6426000</v>
      </c>
      <c r="E2915" t="s">
        <v>188</v>
      </c>
      <c r="F2915">
        <v>5210010105</v>
      </c>
      <c r="G2915" s="13">
        <v>34874.959999999999</v>
      </c>
      <c r="I2915" t="s">
        <v>179</v>
      </c>
      <c r="J2915" t="s">
        <v>564</v>
      </c>
      <c r="K2915" t="s">
        <v>180</v>
      </c>
      <c r="L2915">
        <v>200045272</v>
      </c>
    </row>
    <row r="2916" spans="3:12">
      <c r="C2916">
        <v>2100300025</v>
      </c>
      <c r="D2916">
        <v>6426000</v>
      </c>
      <c r="E2916" t="s">
        <v>188</v>
      </c>
      <c r="F2916">
        <v>5210010105</v>
      </c>
      <c r="G2916" s="13">
        <v>4205</v>
      </c>
      <c r="I2916" t="s">
        <v>179</v>
      </c>
      <c r="J2916" t="s">
        <v>564</v>
      </c>
      <c r="K2916" t="s">
        <v>180</v>
      </c>
      <c r="L2916">
        <v>200045273</v>
      </c>
    </row>
    <row r="2917" spans="3:12">
      <c r="C2917">
        <v>2100300025</v>
      </c>
      <c r="D2917">
        <v>6426000</v>
      </c>
      <c r="E2917" t="s">
        <v>188</v>
      </c>
      <c r="F2917">
        <v>5210010105</v>
      </c>
      <c r="G2917" s="13">
        <v>6270</v>
      </c>
      <c r="I2917" t="s">
        <v>179</v>
      </c>
      <c r="J2917" t="s">
        <v>564</v>
      </c>
      <c r="K2917" t="s">
        <v>180</v>
      </c>
      <c r="L2917">
        <v>200045274</v>
      </c>
    </row>
    <row r="2918" spans="3:12">
      <c r="C2918">
        <v>2100300025</v>
      </c>
      <c r="D2918">
        <v>6426000</v>
      </c>
      <c r="E2918" t="s">
        <v>188</v>
      </c>
      <c r="F2918">
        <v>5210010105</v>
      </c>
      <c r="G2918" s="13">
        <v>2000</v>
      </c>
      <c r="I2918" t="s">
        <v>179</v>
      </c>
      <c r="J2918" t="s">
        <v>564</v>
      </c>
      <c r="K2918" t="s">
        <v>180</v>
      </c>
      <c r="L2918">
        <v>200045275</v>
      </c>
    </row>
    <row r="2919" spans="3:12">
      <c r="C2919">
        <v>2100300025</v>
      </c>
      <c r="D2919">
        <v>6426000</v>
      </c>
      <c r="E2919" t="s">
        <v>188</v>
      </c>
      <c r="F2919">
        <v>5210010105</v>
      </c>
      <c r="G2919" s="13">
        <v>5038</v>
      </c>
      <c r="I2919" t="s">
        <v>179</v>
      </c>
      <c r="J2919" t="s">
        <v>564</v>
      </c>
      <c r="K2919" t="s">
        <v>180</v>
      </c>
      <c r="L2919">
        <v>200045277</v>
      </c>
    </row>
    <row r="2920" spans="3:12">
      <c r="C2920">
        <v>2100300025</v>
      </c>
      <c r="D2920">
        <v>6426000</v>
      </c>
      <c r="E2920" t="s">
        <v>188</v>
      </c>
      <c r="F2920">
        <v>5210010105</v>
      </c>
      <c r="G2920" s="13">
        <v>3420</v>
      </c>
      <c r="I2920" t="s">
        <v>179</v>
      </c>
      <c r="J2920" t="s">
        <v>564</v>
      </c>
      <c r="K2920" t="s">
        <v>180</v>
      </c>
      <c r="L2920">
        <v>200043377</v>
      </c>
    </row>
    <row r="2921" spans="3:12">
      <c r="C2921">
        <v>2100300025</v>
      </c>
      <c r="D2921">
        <v>6426000</v>
      </c>
      <c r="E2921" t="s">
        <v>188</v>
      </c>
      <c r="F2921">
        <v>5210010105</v>
      </c>
      <c r="G2921" s="13">
        <v>2490</v>
      </c>
      <c r="I2921" t="s">
        <v>179</v>
      </c>
      <c r="J2921" t="s">
        <v>564</v>
      </c>
      <c r="K2921" t="s">
        <v>180</v>
      </c>
      <c r="L2921">
        <v>200044812</v>
      </c>
    </row>
    <row r="2922" spans="3:12">
      <c r="C2922">
        <v>2100300025</v>
      </c>
      <c r="D2922">
        <v>6426000</v>
      </c>
      <c r="E2922" t="s">
        <v>188</v>
      </c>
      <c r="F2922">
        <v>5210010105</v>
      </c>
      <c r="G2922" s="13">
        <v>2825</v>
      </c>
      <c r="I2922" t="s">
        <v>179</v>
      </c>
      <c r="J2922" t="s">
        <v>564</v>
      </c>
      <c r="K2922" t="s">
        <v>180</v>
      </c>
      <c r="L2922">
        <v>200045042</v>
      </c>
    </row>
    <row r="2923" spans="3:12">
      <c r="C2923">
        <v>2100300025</v>
      </c>
      <c r="D2923">
        <v>6426000</v>
      </c>
      <c r="E2923" t="s">
        <v>188</v>
      </c>
      <c r="F2923">
        <v>5210010105</v>
      </c>
      <c r="G2923" s="13">
        <v>65000</v>
      </c>
      <c r="I2923" t="s">
        <v>179</v>
      </c>
      <c r="J2923" t="s">
        <v>564</v>
      </c>
      <c r="K2923" t="s">
        <v>180</v>
      </c>
      <c r="L2923">
        <v>200043383</v>
      </c>
    </row>
    <row r="2924" spans="3:12">
      <c r="C2924">
        <v>2100300025</v>
      </c>
      <c r="D2924">
        <v>6426000</v>
      </c>
      <c r="E2924" t="s">
        <v>188</v>
      </c>
      <c r="F2924">
        <v>5210010105</v>
      </c>
      <c r="G2924" s="13">
        <v>65802</v>
      </c>
      <c r="I2924" t="s">
        <v>179</v>
      </c>
      <c r="J2924" t="s">
        <v>564</v>
      </c>
      <c r="K2924" t="s">
        <v>180</v>
      </c>
      <c r="L2924">
        <v>200045045</v>
      </c>
    </row>
    <row r="2925" spans="3:12">
      <c r="C2925">
        <v>2100300025</v>
      </c>
      <c r="D2925">
        <v>6426000</v>
      </c>
      <c r="E2925" t="s">
        <v>188</v>
      </c>
      <c r="F2925">
        <v>5210010105</v>
      </c>
      <c r="G2925">
        <v>400</v>
      </c>
      <c r="I2925" t="s">
        <v>179</v>
      </c>
      <c r="J2925" t="s">
        <v>927</v>
      </c>
      <c r="K2925" t="s">
        <v>180</v>
      </c>
      <c r="L2925">
        <v>200047715</v>
      </c>
    </row>
    <row r="2926" spans="3:12">
      <c r="C2926">
        <v>2100300025</v>
      </c>
      <c r="D2926">
        <v>6426000</v>
      </c>
      <c r="E2926" t="s">
        <v>188</v>
      </c>
      <c r="F2926">
        <v>5210010105</v>
      </c>
      <c r="G2926">
        <v>50</v>
      </c>
      <c r="I2926" t="s">
        <v>179</v>
      </c>
      <c r="J2926" t="s">
        <v>927</v>
      </c>
      <c r="K2926" t="s">
        <v>180</v>
      </c>
      <c r="L2926">
        <v>200047716</v>
      </c>
    </row>
    <row r="2927" spans="3:12">
      <c r="C2927">
        <v>2100300025</v>
      </c>
      <c r="D2927">
        <v>6426000</v>
      </c>
      <c r="E2927" t="s">
        <v>188</v>
      </c>
      <c r="F2927">
        <v>5210010105</v>
      </c>
      <c r="G2927" s="13">
        <v>39400</v>
      </c>
      <c r="I2927" t="s">
        <v>179</v>
      </c>
      <c r="J2927" t="s">
        <v>927</v>
      </c>
      <c r="K2927" t="s">
        <v>180</v>
      </c>
      <c r="L2927">
        <v>200048003</v>
      </c>
    </row>
    <row r="2928" spans="3:12">
      <c r="C2928">
        <v>2100300025</v>
      </c>
      <c r="D2928">
        <v>6426000</v>
      </c>
      <c r="E2928" t="s">
        <v>188</v>
      </c>
      <c r="F2928">
        <v>5210010105</v>
      </c>
      <c r="G2928">
        <v>450</v>
      </c>
      <c r="I2928" t="s">
        <v>179</v>
      </c>
      <c r="J2928" t="s">
        <v>927</v>
      </c>
      <c r="K2928" t="s">
        <v>180</v>
      </c>
      <c r="L2928">
        <v>200048004</v>
      </c>
    </row>
    <row r="2929" spans="3:12">
      <c r="C2929">
        <v>2100300025</v>
      </c>
      <c r="D2929">
        <v>6426000</v>
      </c>
      <c r="E2929" t="s">
        <v>188</v>
      </c>
      <c r="F2929">
        <v>5210010105</v>
      </c>
      <c r="G2929" s="13">
        <v>3000</v>
      </c>
      <c r="I2929" t="s">
        <v>179</v>
      </c>
      <c r="J2929" t="s">
        <v>927</v>
      </c>
      <c r="K2929" t="s">
        <v>180</v>
      </c>
      <c r="L2929">
        <v>200047521</v>
      </c>
    </row>
    <row r="2930" spans="3:12">
      <c r="C2930">
        <v>2100300025</v>
      </c>
      <c r="D2930">
        <v>6426000</v>
      </c>
      <c r="E2930" t="s">
        <v>188</v>
      </c>
      <c r="F2930">
        <v>5210010105</v>
      </c>
      <c r="G2930" s="13">
        <v>21000</v>
      </c>
      <c r="I2930" t="s">
        <v>179</v>
      </c>
      <c r="J2930" t="s">
        <v>927</v>
      </c>
      <c r="K2930" t="s">
        <v>180</v>
      </c>
      <c r="L2930">
        <v>200047724</v>
      </c>
    </row>
    <row r="2931" spans="3:12">
      <c r="C2931">
        <v>2100300025</v>
      </c>
      <c r="D2931">
        <v>6426000</v>
      </c>
      <c r="E2931" t="s">
        <v>188</v>
      </c>
      <c r="F2931">
        <v>5210010105</v>
      </c>
      <c r="G2931" s="13">
        <v>27500</v>
      </c>
      <c r="I2931" t="s">
        <v>179</v>
      </c>
      <c r="J2931" t="s">
        <v>927</v>
      </c>
      <c r="K2931" t="s">
        <v>180</v>
      </c>
      <c r="L2931">
        <v>200048008</v>
      </c>
    </row>
    <row r="2932" spans="3:12">
      <c r="C2932">
        <v>2100300025</v>
      </c>
      <c r="D2932">
        <v>6426000</v>
      </c>
      <c r="E2932" t="s">
        <v>188</v>
      </c>
      <c r="F2932">
        <v>5210010105</v>
      </c>
      <c r="G2932" s="13">
        <v>48500</v>
      </c>
      <c r="I2932" t="s">
        <v>179</v>
      </c>
      <c r="J2932" t="s">
        <v>927</v>
      </c>
      <c r="K2932" t="s">
        <v>180</v>
      </c>
      <c r="L2932">
        <v>200047725</v>
      </c>
    </row>
    <row r="2933" spans="3:12">
      <c r="C2933">
        <v>2100300025</v>
      </c>
      <c r="D2933">
        <v>6426000</v>
      </c>
      <c r="E2933" t="s">
        <v>188</v>
      </c>
      <c r="F2933">
        <v>5210010105</v>
      </c>
      <c r="G2933" s="13">
        <v>24000</v>
      </c>
      <c r="I2933" t="s">
        <v>179</v>
      </c>
      <c r="J2933" t="s">
        <v>927</v>
      </c>
      <c r="K2933" t="s">
        <v>180</v>
      </c>
      <c r="L2933">
        <v>200048009</v>
      </c>
    </row>
    <row r="2934" spans="3:12">
      <c r="C2934">
        <v>2100300025</v>
      </c>
      <c r="D2934">
        <v>6426000</v>
      </c>
      <c r="E2934" t="s">
        <v>188</v>
      </c>
      <c r="F2934">
        <v>5210010105</v>
      </c>
      <c r="G2934">
        <v>186</v>
      </c>
      <c r="I2934" t="s">
        <v>179</v>
      </c>
      <c r="J2934" t="s">
        <v>927</v>
      </c>
      <c r="K2934" t="s">
        <v>180</v>
      </c>
      <c r="L2934">
        <v>200047726</v>
      </c>
    </row>
    <row r="2935" spans="3:12">
      <c r="C2935">
        <v>2100300025</v>
      </c>
      <c r="D2935">
        <v>6426000</v>
      </c>
      <c r="E2935" t="s">
        <v>188</v>
      </c>
      <c r="F2935">
        <v>5210010105</v>
      </c>
      <c r="G2935" s="13">
        <v>488667.61</v>
      </c>
      <c r="I2935" t="s">
        <v>179</v>
      </c>
      <c r="J2935" t="s">
        <v>927</v>
      </c>
      <c r="K2935" t="s">
        <v>180</v>
      </c>
      <c r="L2935">
        <v>200047625</v>
      </c>
    </row>
    <row r="2936" spans="3:12">
      <c r="C2936">
        <v>2100300025</v>
      </c>
      <c r="D2936">
        <v>6426000</v>
      </c>
      <c r="E2936" t="s">
        <v>188</v>
      </c>
      <c r="F2936">
        <v>5210010105</v>
      </c>
      <c r="G2936" s="13">
        <v>27431</v>
      </c>
      <c r="I2936" t="s">
        <v>179</v>
      </c>
      <c r="J2936" t="s">
        <v>927</v>
      </c>
      <c r="K2936" t="s">
        <v>180</v>
      </c>
      <c r="L2936">
        <v>200047415</v>
      </c>
    </row>
    <row r="2937" spans="3:12">
      <c r="C2937">
        <v>2100300025</v>
      </c>
      <c r="D2937">
        <v>6426000</v>
      </c>
      <c r="E2937" t="s">
        <v>188</v>
      </c>
      <c r="F2937">
        <v>5210010105</v>
      </c>
      <c r="G2937" s="13">
        <v>2400</v>
      </c>
      <c r="I2937" t="s">
        <v>179</v>
      </c>
      <c r="J2937" t="s">
        <v>927</v>
      </c>
      <c r="K2937" t="s">
        <v>180</v>
      </c>
      <c r="L2937">
        <v>200047626</v>
      </c>
    </row>
    <row r="2938" spans="3:12">
      <c r="C2938">
        <v>2100300025</v>
      </c>
      <c r="D2938">
        <v>6426000</v>
      </c>
      <c r="E2938" t="s">
        <v>188</v>
      </c>
      <c r="F2938">
        <v>5210010105</v>
      </c>
      <c r="G2938" s="13">
        <v>6000</v>
      </c>
      <c r="I2938" t="s">
        <v>179</v>
      </c>
      <c r="J2938" t="s">
        <v>928</v>
      </c>
      <c r="K2938" t="s">
        <v>180</v>
      </c>
      <c r="L2938">
        <v>200050233</v>
      </c>
    </row>
    <row r="2939" spans="3:12">
      <c r="C2939">
        <v>2100300025</v>
      </c>
      <c r="D2939">
        <v>6426000</v>
      </c>
      <c r="E2939" t="s">
        <v>188</v>
      </c>
      <c r="F2939">
        <v>5210010105</v>
      </c>
      <c r="G2939" s="13">
        <v>4000</v>
      </c>
      <c r="I2939" t="s">
        <v>179</v>
      </c>
      <c r="J2939" t="s">
        <v>928</v>
      </c>
      <c r="K2939" t="s">
        <v>180</v>
      </c>
      <c r="L2939">
        <v>200049688</v>
      </c>
    </row>
    <row r="2940" spans="3:12">
      <c r="C2940">
        <v>2100300025</v>
      </c>
      <c r="D2940">
        <v>6426000</v>
      </c>
      <c r="E2940" t="s">
        <v>188</v>
      </c>
      <c r="F2940">
        <v>5210010105</v>
      </c>
      <c r="G2940" s="13">
        <v>382500</v>
      </c>
      <c r="I2940" t="s">
        <v>179</v>
      </c>
      <c r="J2940" t="s">
        <v>928</v>
      </c>
      <c r="K2940" t="s">
        <v>180</v>
      </c>
      <c r="L2940">
        <v>200049689</v>
      </c>
    </row>
    <row r="2941" spans="3:12">
      <c r="C2941">
        <v>2100300025</v>
      </c>
      <c r="D2941">
        <v>6426000</v>
      </c>
      <c r="E2941" t="s">
        <v>188</v>
      </c>
      <c r="F2941">
        <v>5210010105</v>
      </c>
      <c r="G2941">
        <v>525</v>
      </c>
      <c r="I2941" t="s">
        <v>179</v>
      </c>
      <c r="J2941" t="s">
        <v>928</v>
      </c>
      <c r="K2941" t="s">
        <v>180</v>
      </c>
      <c r="L2941">
        <v>200050234</v>
      </c>
    </row>
    <row r="2942" spans="3:12">
      <c r="C2942">
        <v>2100300025</v>
      </c>
      <c r="D2942">
        <v>6426000</v>
      </c>
      <c r="E2942" t="s">
        <v>188</v>
      </c>
      <c r="F2942">
        <v>5210010105</v>
      </c>
      <c r="G2942" s="13">
        <v>72000</v>
      </c>
      <c r="I2942" t="s">
        <v>179</v>
      </c>
      <c r="J2942" t="s">
        <v>927</v>
      </c>
      <c r="K2942" t="s">
        <v>180</v>
      </c>
      <c r="L2942">
        <v>200046697</v>
      </c>
    </row>
    <row r="2943" spans="3:12">
      <c r="C2943">
        <v>2100300025</v>
      </c>
      <c r="D2943">
        <v>6426000</v>
      </c>
      <c r="E2943" t="s">
        <v>188</v>
      </c>
      <c r="F2943">
        <v>5210010105</v>
      </c>
      <c r="G2943" s="13">
        <v>15145</v>
      </c>
      <c r="I2943" t="s">
        <v>179</v>
      </c>
      <c r="J2943" t="s">
        <v>926</v>
      </c>
      <c r="K2943" t="s">
        <v>180</v>
      </c>
      <c r="L2943">
        <v>200054570</v>
      </c>
    </row>
    <row r="2944" spans="3:12">
      <c r="C2944">
        <v>2100300025</v>
      </c>
      <c r="D2944">
        <v>6426000</v>
      </c>
      <c r="E2944" t="s">
        <v>188</v>
      </c>
      <c r="F2944">
        <v>5210010105</v>
      </c>
      <c r="G2944" s="13">
        <v>101400</v>
      </c>
      <c r="I2944" t="s">
        <v>179</v>
      </c>
      <c r="J2944" t="s">
        <v>914</v>
      </c>
      <c r="K2944" t="s">
        <v>180</v>
      </c>
      <c r="L2944">
        <v>200040622</v>
      </c>
    </row>
    <row r="2945" spans="3:12">
      <c r="C2945">
        <v>2100300025</v>
      </c>
      <c r="D2945">
        <v>6426000</v>
      </c>
      <c r="E2945" t="s">
        <v>188</v>
      </c>
      <c r="F2945">
        <v>5210010105</v>
      </c>
      <c r="G2945" s="13">
        <v>74365</v>
      </c>
      <c r="I2945" t="s">
        <v>179</v>
      </c>
      <c r="J2945" t="s">
        <v>916</v>
      </c>
      <c r="K2945" t="s">
        <v>180</v>
      </c>
      <c r="L2945">
        <v>200037863</v>
      </c>
    </row>
    <row r="2946" spans="3:12">
      <c r="C2946">
        <v>2100300025</v>
      </c>
      <c r="D2946">
        <v>6426000</v>
      </c>
      <c r="E2946" t="s">
        <v>188</v>
      </c>
      <c r="F2946">
        <v>5210010105</v>
      </c>
      <c r="G2946" s="13">
        <v>28440</v>
      </c>
      <c r="I2946" t="s">
        <v>179</v>
      </c>
      <c r="J2946" t="s">
        <v>916</v>
      </c>
      <c r="K2946" t="s">
        <v>180</v>
      </c>
      <c r="L2946">
        <v>200030595</v>
      </c>
    </row>
    <row r="2947" spans="3:12">
      <c r="C2947">
        <v>2100300025</v>
      </c>
      <c r="D2947">
        <v>6426000</v>
      </c>
      <c r="E2947" t="s">
        <v>188</v>
      </c>
      <c r="F2947">
        <v>5210010105</v>
      </c>
      <c r="G2947" s="13">
        <v>31500</v>
      </c>
      <c r="I2947" t="s">
        <v>179</v>
      </c>
      <c r="J2947" t="s">
        <v>916</v>
      </c>
      <c r="K2947" t="s">
        <v>180</v>
      </c>
      <c r="L2947">
        <v>200036700</v>
      </c>
    </row>
    <row r="2948" spans="3:12">
      <c r="C2948">
        <v>2100300025</v>
      </c>
      <c r="D2948">
        <v>6426000</v>
      </c>
      <c r="E2948" t="s">
        <v>188</v>
      </c>
      <c r="F2948">
        <v>5210010105</v>
      </c>
      <c r="G2948" s="13">
        <v>2080</v>
      </c>
      <c r="I2948" t="s">
        <v>179</v>
      </c>
      <c r="J2948" t="s">
        <v>915</v>
      </c>
      <c r="K2948" t="s">
        <v>180</v>
      </c>
      <c r="L2948">
        <v>200039337</v>
      </c>
    </row>
    <row r="2949" spans="3:12">
      <c r="C2949">
        <v>2100300025</v>
      </c>
      <c r="D2949">
        <v>6426000</v>
      </c>
      <c r="E2949" t="s">
        <v>188</v>
      </c>
      <c r="F2949">
        <v>5210010105</v>
      </c>
      <c r="G2949" s="13">
        <v>2112</v>
      </c>
      <c r="I2949" t="s">
        <v>179</v>
      </c>
      <c r="J2949" t="s">
        <v>915</v>
      </c>
      <c r="K2949" t="s">
        <v>180</v>
      </c>
      <c r="L2949">
        <v>200038280</v>
      </c>
    </row>
    <row r="2950" spans="3:12">
      <c r="C2950">
        <v>2100300025</v>
      </c>
      <c r="D2950">
        <v>6426000</v>
      </c>
      <c r="E2950" t="s">
        <v>188</v>
      </c>
      <c r="F2950">
        <v>5210010105</v>
      </c>
      <c r="G2950" s="13">
        <v>6676</v>
      </c>
      <c r="I2950" t="s">
        <v>179</v>
      </c>
      <c r="J2950" t="s">
        <v>823</v>
      </c>
      <c r="K2950" t="s">
        <v>180</v>
      </c>
      <c r="L2950">
        <v>200037920</v>
      </c>
    </row>
    <row r="2951" spans="3:12">
      <c r="C2951">
        <v>2100300025</v>
      </c>
      <c r="D2951">
        <v>6426000</v>
      </c>
      <c r="E2951" t="s">
        <v>188</v>
      </c>
      <c r="F2951">
        <v>5210010105</v>
      </c>
      <c r="G2951" s="13">
        <v>128453.5</v>
      </c>
      <c r="I2951" t="s">
        <v>179</v>
      </c>
      <c r="J2951" t="s">
        <v>917</v>
      </c>
      <c r="K2951" t="s">
        <v>180</v>
      </c>
      <c r="L2951">
        <v>200038265</v>
      </c>
    </row>
    <row r="2952" spans="3:12">
      <c r="C2952">
        <v>2100300025</v>
      </c>
      <c r="D2952">
        <v>6426000</v>
      </c>
      <c r="E2952" t="s">
        <v>188</v>
      </c>
      <c r="F2952">
        <v>5210010105</v>
      </c>
      <c r="G2952" s="13">
        <v>37500</v>
      </c>
      <c r="I2952" t="s">
        <v>179</v>
      </c>
      <c r="J2952" t="s">
        <v>917</v>
      </c>
      <c r="K2952" t="s">
        <v>180</v>
      </c>
      <c r="L2952">
        <v>200039544</v>
      </c>
    </row>
    <row r="2953" spans="3:12">
      <c r="C2953">
        <v>2100300025</v>
      </c>
      <c r="D2953">
        <v>6426000</v>
      </c>
      <c r="E2953" t="s">
        <v>188</v>
      </c>
      <c r="F2953">
        <v>5210010105</v>
      </c>
      <c r="G2953" s="13">
        <v>28000</v>
      </c>
      <c r="I2953" t="s">
        <v>179</v>
      </c>
      <c r="J2953" t="s">
        <v>917</v>
      </c>
      <c r="K2953" t="s">
        <v>180</v>
      </c>
      <c r="L2953">
        <v>200039693</v>
      </c>
    </row>
    <row r="2954" spans="3:12">
      <c r="C2954">
        <v>2100300025</v>
      </c>
      <c r="D2954">
        <v>6426000</v>
      </c>
      <c r="E2954" t="s">
        <v>188</v>
      </c>
      <c r="F2954">
        <v>5210010105</v>
      </c>
      <c r="G2954" s="13">
        <v>25900</v>
      </c>
      <c r="I2954" t="s">
        <v>179</v>
      </c>
      <c r="J2954" t="s">
        <v>917</v>
      </c>
      <c r="K2954" t="s">
        <v>180</v>
      </c>
      <c r="L2954">
        <v>200039545</v>
      </c>
    </row>
    <row r="2955" spans="3:12">
      <c r="C2955">
        <v>2100300025</v>
      </c>
      <c r="D2955">
        <v>6426000</v>
      </c>
      <c r="E2955" t="s">
        <v>188</v>
      </c>
      <c r="F2955">
        <v>5210010105</v>
      </c>
      <c r="G2955" s="13">
        <v>805000</v>
      </c>
      <c r="I2955" t="s">
        <v>179</v>
      </c>
      <c r="J2955" t="s">
        <v>917</v>
      </c>
      <c r="K2955" t="s">
        <v>180</v>
      </c>
      <c r="L2955">
        <v>200040003</v>
      </c>
    </row>
    <row r="2956" spans="3:12">
      <c r="C2956">
        <v>2100300025</v>
      </c>
      <c r="D2956">
        <v>6426000</v>
      </c>
      <c r="E2956" t="s">
        <v>188</v>
      </c>
      <c r="F2956">
        <v>5210010105</v>
      </c>
      <c r="G2956" s="13">
        <v>1353600</v>
      </c>
      <c r="I2956" t="s">
        <v>179</v>
      </c>
      <c r="J2956" t="s">
        <v>917</v>
      </c>
      <c r="K2956" t="s">
        <v>180</v>
      </c>
      <c r="L2956">
        <v>200005362</v>
      </c>
    </row>
    <row r="2957" spans="3:12">
      <c r="C2957">
        <v>2100300025</v>
      </c>
      <c r="D2957">
        <v>6426000</v>
      </c>
      <c r="E2957" t="s">
        <v>188</v>
      </c>
      <c r="F2957">
        <v>5210010105</v>
      </c>
      <c r="G2957" s="13">
        <v>2266666</v>
      </c>
      <c r="I2957" t="s">
        <v>179</v>
      </c>
      <c r="J2957" t="s">
        <v>917</v>
      </c>
      <c r="K2957" t="s">
        <v>180</v>
      </c>
      <c r="L2957">
        <v>200039694</v>
      </c>
    </row>
    <row r="2958" spans="3:12">
      <c r="C2958">
        <v>2100300025</v>
      </c>
      <c r="D2958">
        <v>6426000</v>
      </c>
      <c r="E2958" t="s">
        <v>188</v>
      </c>
      <c r="F2958">
        <v>5210010105</v>
      </c>
      <c r="G2958" s="13">
        <v>8977</v>
      </c>
      <c r="I2958" t="s">
        <v>179</v>
      </c>
      <c r="J2958" t="s">
        <v>917</v>
      </c>
      <c r="K2958" t="s">
        <v>180</v>
      </c>
      <c r="L2958">
        <v>200039323</v>
      </c>
    </row>
    <row r="2959" spans="3:12">
      <c r="C2959">
        <v>2100300025</v>
      </c>
      <c r="D2959">
        <v>6426000</v>
      </c>
      <c r="E2959" t="s">
        <v>188</v>
      </c>
      <c r="F2959">
        <v>5210010105</v>
      </c>
      <c r="G2959" s="13">
        <v>56000</v>
      </c>
      <c r="I2959" t="s">
        <v>179</v>
      </c>
      <c r="J2959" t="s">
        <v>917</v>
      </c>
      <c r="K2959" t="s">
        <v>180</v>
      </c>
      <c r="L2959">
        <v>200040004</v>
      </c>
    </row>
    <row r="2960" spans="3:12">
      <c r="C2960">
        <v>2100300025</v>
      </c>
      <c r="D2960">
        <v>6426000</v>
      </c>
      <c r="E2960" t="s">
        <v>188</v>
      </c>
      <c r="F2960">
        <v>5210010105</v>
      </c>
      <c r="G2960" s="13">
        <v>633333</v>
      </c>
      <c r="I2960" t="s">
        <v>179</v>
      </c>
      <c r="J2960" t="s">
        <v>917</v>
      </c>
      <c r="K2960" t="s">
        <v>180</v>
      </c>
      <c r="L2960">
        <v>200039698</v>
      </c>
    </row>
    <row r="2961" spans="3:12">
      <c r="C2961">
        <v>2100300025</v>
      </c>
      <c r="D2961">
        <v>6426000</v>
      </c>
      <c r="E2961" t="s">
        <v>188</v>
      </c>
      <c r="F2961">
        <v>5210010105</v>
      </c>
      <c r="G2961" s="13">
        <v>269832.59999999998</v>
      </c>
      <c r="I2961" t="s">
        <v>179</v>
      </c>
      <c r="J2961" t="s">
        <v>919</v>
      </c>
      <c r="K2961" t="s">
        <v>180</v>
      </c>
      <c r="L2961">
        <v>200036829</v>
      </c>
    </row>
    <row r="2962" spans="3:12">
      <c r="C2962">
        <v>2100300025</v>
      </c>
      <c r="D2962">
        <v>6426000</v>
      </c>
      <c r="E2962" t="s">
        <v>188</v>
      </c>
      <c r="F2962">
        <v>5210010105</v>
      </c>
      <c r="G2962" s="13">
        <v>1383.5</v>
      </c>
      <c r="I2962" t="s">
        <v>179</v>
      </c>
      <c r="J2962" t="s">
        <v>919</v>
      </c>
      <c r="K2962" t="s">
        <v>180</v>
      </c>
      <c r="L2962">
        <v>200036830</v>
      </c>
    </row>
    <row r="2963" spans="3:12">
      <c r="C2963">
        <v>2100300025</v>
      </c>
      <c r="D2963">
        <v>6426000</v>
      </c>
      <c r="E2963" t="s">
        <v>188</v>
      </c>
      <c r="F2963">
        <v>5210010105</v>
      </c>
      <c r="G2963" s="13">
        <v>23326.6</v>
      </c>
      <c r="I2963" t="s">
        <v>179</v>
      </c>
      <c r="J2963" t="s">
        <v>919</v>
      </c>
      <c r="K2963" t="s">
        <v>180</v>
      </c>
      <c r="L2963">
        <v>200034500</v>
      </c>
    </row>
    <row r="2964" spans="3:12">
      <c r="C2964">
        <v>2100300025</v>
      </c>
      <c r="D2964">
        <v>6426000</v>
      </c>
      <c r="E2964" t="s">
        <v>188</v>
      </c>
      <c r="F2964">
        <v>5210010105</v>
      </c>
      <c r="G2964" s="13">
        <v>14766</v>
      </c>
      <c r="I2964" t="s">
        <v>179</v>
      </c>
      <c r="J2964" t="s">
        <v>920</v>
      </c>
      <c r="K2964" t="s">
        <v>180</v>
      </c>
      <c r="L2964">
        <v>200038966</v>
      </c>
    </row>
    <row r="2965" spans="3:12">
      <c r="C2965">
        <v>2100300025</v>
      </c>
      <c r="D2965">
        <v>6426000</v>
      </c>
      <c r="E2965" t="s">
        <v>188</v>
      </c>
      <c r="F2965">
        <v>5210010105</v>
      </c>
      <c r="G2965" s="13">
        <v>73830</v>
      </c>
      <c r="I2965" t="s">
        <v>179</v>
      </c>
      <c r="J2965" t="s">
        <v>920</v>
      </c>
      <c r="K2965" t="s">
        <v>180</v>
      </c>
      <c r="L2965">
        <v>200038968</v>
      </c>
    </row>
    <row r="2966" spans="3:12">
      <c r="C2966">
        <v>2100300025</v>
      </c>
      <c r="D2966">
        <v>6426000</v>
      </c>
      <c r="E2966" t="s">
        <v>188</v>
      </c>
      <c r="F2966">
        <v>5210010105</v>
      </c>
      <c r="G2966">
        <v>560</v>
      </c>
      <c r="I2966" t="s">
        <v>179</v>
      </c>
      <c r="J2966" t="s">
        <v>825</v>
      </c>
      <c r="K2966" t="s">
        <v>180</v>
      </c>
      <c r="L2966">
        <v>200041675</v>
      </c>
    </row>
    <row r="2967" spans="3:12">
      <c r="C2967">
        <v>2100300025</v>
      </c>
      <c r="D2967">
        <v>6426000</v>
      </c>
      <c r="E2967" t="s">
        <v>188</v>
      </c>
      <c r="F2967">
        <v>5210010105</v>
      </c>
      <c r="G2967" s="13">
        <v>1391</v>
      </c>
      <c r="I2967" t="s">
        <v>179</v>
      </c>
      <c r="J2967" t="s">
        <v>825</v>
      </c>
      <c r="K2967" t="s">
        <v>180</v>
      </c>
      <c r="L2967">
        <v>200041676</v>
      </c>
    </row>
    <row r="2968" spans="3:12">
      <c r="C2968">
        <v>2100300025</v>
      </c>
      <c r="D2968">
        <v>6426000</v>
      </c>
      <c r="E2968" t="s">
        <v>188</v>
      </c>
      <c r="F2968">
        <v>5210010105</v>
      </c>
      <c r="G2968">
        <v>526.74</v>
      </c>
      <c r="I2968" t="s">
        <v>179</v>
      </c>
      <c r="J2968" t="s">
        <v>825</v>
      </c>
      <c r="K2968" t="s">
        <v>180</v>
      </c>
      <c r="L2968">
        <v>200041677</v>
      </c>
    </row>
    <row r="2969" spans="3:12">
      <c r="C2969">
        <v>2100300025</v>
      </c>
      <c r="D2969">
        <v>6426000</v>
      </c>
      <c r="E2969" t="s">
        <v>188</v>
      </c>
      <c r="F2969">
        <v>5210010105</v>
      </c>
      <c r="G2969">
        <v>107</v>
      </c>
      <c r="I2969" t="s">
        <v>179</v>
      </c>
      <c r="J2969" t="s">
        <v>825</v>
      </c>
      <c r="K2969" t="s">
        <v>180</v>
      </c>
      <c r="L2969">
        <v>200041678</v>
      </c>
    </row>
    <row r="2970" spans="3:12">
      <c r="C2970">
        <v>2100300025</v>
      </c>
      <c r="D2970">
        <v>6426000</v>
      </c>
      <c r="E2970" t="s">
        <v>188</v>
      </c>
      <c r="F2970">
        <v>5210010105</v>
      </c>
      <c r="G2970" s="13">
        <v>6420</v>
      </c>
      <c r="I2970" t="s">
        <v>179</v>
      </c>
      <c r="J2970" t="s">
        <v>825</v>
      </c>
      <c r="K2970" t="s">
        <v>180</v>
      </c>
      <c r="L2970">
        <v>200041679</v>
      </c>
    </row>
    <row r="2971" spans="3:12">
      <c r="C2971">
        <v>2100300025</v>
      </c>
      <c r="D2971">
        <v>6426000</v>
      </c>
      <c r="E2971" t="s">
        <v>188</v>
      </c>
      <c r="F2971">
        <v>5210010105</v>
      </c>
      <c r="G2971">
        <v>640</v>
      </c>
      <c r="I2971" t="s">
        <v>179</v>
      </c>
      <c r="J2971" t="s">
        <v>825</v>
      </c>
      <c r="K2971" t="s">
        <v>180</v>
      </c>
      <c r="L2971">
        <v>200041680</v>
      </c>
    </row>
    <row r="2972" spans="3:12">
      <c r="C2972">
        <v>2100300025</v>
      </c>
      <c r="D2972">
        <v>6426000</v>
      </c>
      <c r="E2972" t="s">
        <v>188</v>
      </c>
      <c r="F2972">
        <v>5210010105</v>
      </c>
      <c r="G2972">
        <v>249</v>
      </c>
      <c r="I2972" t="s">
        <v>179</v>
      </c>
      <c r="J2972" t="s">
        <v>825</v>
      </c>
      <c r="K2972" t="s">
        <v>180</v>
      </c>
      <c r="L2972">
        <v>200041681</v>
      </c>
    </row>
    <row r="2973" spans="3:12">
      <c r="C2973">
        <v>2100300025</v>
      </c>
      <c r="D2973">
        <v>6426000</v>
      </c>
      <c r="E2973" t="s">
        <v>188</v>
      </c>
      <c r="F2973">
        <v>5210010105</v>
      </c>
      <c r="G2973" s="13">
        <v>12583.2</v>
      </c>
      <c r="I2973" t="s">
        <v>179</v>
      </c>
      <c r="J2973" t="s">
        <v>825</v>
      </c>
      <c r="K2973" t="s">
        <v>180</v>
      </c>
      <c r="L2973">
        <v>200040859</v>
      </c>
    </row>
    <row r="2974" spans="3:12">
      <c r="C2974">
        <v>2100300025</v>
      </c>
      <c r="D2974">
        <v>6426000</v>
      </c>
      <c r="E2974" t="s">
        <v>188</v>
      </c>
      <c r="F2974">
        <v>5210010105</v>
      </c>
      <c r="G2974" s="13">
        <v>2503.8000000000002</v>
      </c>
      <c r="I2974" t="s">
        <v>179</v>
      </c>
      <c r="J2974" t="s">
        <v>825</v>
      </c>
      <c r="K2974" t="s">
        <v>180</v>
      </c>
      <c r="L2974">
        <v>200041728</v>
      </c>
    </row>
    <row r="2975" spans="3:12">
      <c r="C2975">
        <v>2100300025</v>
      </c>
      <c r="D2975">
        <v>6426000</v>
      </c>
      <c r="E2975" t="s">
        <v>188</v>
      </c>
      <c r="F2975">
        <v>5210010105</v>
      </c>
      <c r="G2975" s="13">
        <v>24460.2</v>
      </c>
      <c r="I2975" t="s">
        <v>179</v>
      </c>
      <c r="J2975" t="s">
        <v>825</v>
      </c>
      <c r="K2975" t="s">
        <v>180</v>
      </c>
      <c r="L2975">
        <v>200041729</v>
      </c>
    </row>
    <row r="2976" spans="3:12">
      <c r="C2976">
        <v>2100300025</v>
      </c>
      <c r="D2976">
        <v>6426000</v>
      </c>
      <c r="E2976" t="s">
        <v>188</v>
      </c>
      <c r="F2976">
        <v>5210010105</v>
      </c>
      <c r="G2976" s="13">
        <v>1194.1199999999999</v>
      </c>
      <c r="I2976" t="s">
        <v>179</v>
      </c>
      <c r="J2976" t="s">
        <v>825</v>
      </c>
      <c r="K2976" t="s">
        <v>180</v>
      </c>
      <c r="L2976">
        <v>200041730</v>
      </c>
    </row>
    <row r="2977" spans="3:12">
      <c r="C2977">
        <v>2100300025</v>
      </c>
      <c r="D2977">
        <v>6426000</v>
      </c>
      <c r="E2977" t="s">
        <v>188</v>
      </c>
      <c r="F2977">
        <v>5210010105</v>
      </c>
      <c r="G2977">
        <v>969.42</v>
      </c>
      <c r="I2977" t="s">
        <v>179</v>
      </c>
      <c r="J2977" t="s">
        <v>825</v>
      </c>
      <c r="K2977" t="s">
        <v>180</v>
      </c>
      <c r="L2977">
        <v>200041731</v>
      </c>
    </row>
    <row r="2978" spans="3:12">
      <c r="C2978">
        <v>2100300025</v>
      </c>
      <c r="D2978">
        <v>6426000</v>
      </c>
      <c r="E2978" t="s">
        <v>188</v>
      </c>
      <c r="F2978">
        <v>5210010105</v>
      </c>
      <c r="G2978" s="13">
        <v>67998.5</v>
      </c>
      <c r="I2978" t="s">
        <v>179</v>
      </c>
      <c r="J2978" t="s">
        <v>825</v>
      </c>
      <c r="K2978" t="s">
        <v>180</v>
      </c>
      <c r="L2978">
        <v>200041732</v>
      </c>
    </row>
    <row r="2979" spans="3:12">
      <c r="C2979">
        <v>2100300025</v>
      </c>
      <c r="D2979">
        <v>6426000</v>
      </c>
      <c r="E2979" t="s">
        <v>188</v>
      </c>
      <c r="F2979">
        <v>5210010105</v>
      </c>
      <c r="G2979" s="13">
        <v>1926</v>
      </c>
      <c r="I2979" t="s">
        <v>179</v>
      </c>
      <c r="J2979" t="s">
        <v>825</v>
      </c>
      <c r="K2979" t="s">
        <v>180</v>
      </c>
      <c r="L2979">
        <v>200040860</v>
      </c>
    </row>
    <row r="2980" spans="3:12">
      <c r="C2980">
        <v>2100300025</v>
      </c>
      <c r="D2980">
        <v>6426000</v>
      </c>
      <c r="E2980" t="s">
        <v>188</v>
      </c>
      <c r="F2980">
        <v>5210010105</v>
      </c>
      <c r="G2980" s="13">
        <v>10168.209999999999</v>
      </c>
      <c r="I2980" t="s">
        <v>179</v>
      </c>
      <c r="J2980" t="s">
        <v>825</v>
      </c>
      <c r="K2980" t="s">
        <v>180</v>
      </c>
      <c r="L2980">
        <v>200040861</v>
      </c>
    </row>
    <row r="2981" spans="3:12">
      <c r="C2981">
        <v>2100300025</v>
      </c>
      <c r="D2981">
        <v>6426000</v>
      </c>
      <c r="E2981" t="s">
        <v>188</v>
      </c>
      <c r="F2981">
        <v>5210010105</v>
      </c>
      <c r="G2981" s="13">
        <v>16264</v>
      </c>
      <c r="I2981" t="s">
        <v>179</v>
      </c>
      <c r="J2981" t="s">
        <v>825</v>
      </c>
      <c r="K2981" t="s">
        <v>180</v>
      </c>
      <c r="L2981">
        <v>200040915</v>
      </c>
    </row>
    <row r="2982" spans="3:12">
      <c r="C2982">
        <v>2100300025</v>
      </c>
      <c r="D2982">
        <v>6426000</v>
      </c>
      <c r="E2982" t="s">
        <v>188</v>
      </c>
      <c r="F2982">
        <v>5210010105</v>
      </c>
      <c r="G2982">
        <v>539.28</v>
      </c>
      <c r="I2982" t="s">
        <v>179</v>
      </c>
      <c r="J2982" t="s">
        <v>825</v>
      </c>
      <c r="K2982" t="s">
        <v>180</v>
      </c>
      <c r="L2982">
        <v>200040916</v>
      </c>
    </row>
    <row r="2983" spans="3:12">
      <c r="C2983">
        <v>2100300025</v>
      </c>
      <c r="D2983">
        <v>6426000</v>
      </c>
      <c r="E2983" t="s">
        <v>188</v>
      </c>
      <c r="F2983">
        <v>5210010105</v>
      </c>
      <c r="G2983" s="13">
        <v>236365</v>
      </c>
      <c r="I2983" t="s">
        <v>179</v>
      </c>
      <c r="J2983" t="s">
        <v>825</v>
      </c>
      <c r="K2983" t="s">
        <v>180</v>
      </c>
      <c r="L2983">
        <v>200036522</v>
      </c>
    </row>
    <row r="2984" spans="3:12">
      <c r="C2984">
        <v>2100300025</v>
      </c>
      <c r="D2984">
        <v>6426000</v>
      </c>
      <c r="E2984" t="s">
        <v>188</v>
      </c>
      <c r="F2984">
        <v>5210010105</v>
      </c>
      <c r="G2984" s="13">
        <v>35095</v>
      </c>
      <c r="I2984" t="s">
        <v>179</v>
      </c>
      <c r="J2984" t="s">
        <v>825</v>
      </c>
      <c r="K2984" t="s">
        <v>180</v>
      </c>
      <c r="L2984">
        <v>200041658</v>
      </c>
    </row>
    <row r="2985" spans="3:12">
      <c r="C2985">
        <v>2100300025</v>
      </c>
      <c r="D2985">
        <v>6426000</v>
      </c>
      <c r="E2985" t="s">
        <v>188</v>
      </c>
      <c r="F2985">
        <v>5210010105</v>
      </c>
      <c r="G2985" s="13">
        <v>5500</v>
      </c>
      <c r="I2985" t="s">
        <v>179</v>
      </c>
      <c r="J2985" t="s">
        <v>825</v>
      </c>
      <c r="K2985" t="s">
        <v>180</v>
      </c>
      <c r="L2985">
        <v>200041724</v>
      </c>
    </row>
    <row r="2986" spans="3:12">
      <c r="C2986">
        <v>2100300025</v>
      </c>
      <c r="D2986">
        <v>6426000</v>
      </c>
      <c r="E2986" t="s">
        <v>188</v>
      </c>
      <c r="F2986">
        <v>5210010105</v>
      </c>
      <c r="G2986" s="13">
        <v>284600</v>
      </c>
      <c r="I2986" t="s">
        <v>179</v>
      </c>
      <c r="J2986" t="s">
        <v>825</v>
      </c>
      <c r="K2986" t="s">
        <v>180</v>
      </c>
      <c r="L2986">
        <v>200040849</v>
      </c>
    </row>
    <row r="2987" spans="3:12">
      <c r="C2987">
        <v>2100300025</v>
      </c>
      <c r="D2987">
        <v>6426000</v>
      </c>
      <c r="E2987" t="s">
        <v>188</v>
      </c>
      <c r="F2987">
        <v>5210010105</v>
      </c>
      <c r="G2987" s="13">
        <v>2934000</v>
      </c>
      <c r="I2987" t="s">
        <v>179</v>
      </c>
      <c r="J2987" t="s">
        <v>827</v>
      </c>
      <c r="K2987" t="s">
        <v>180</v>
      </c>
      <c r="L2987">
        <v>200043632</v>
      </c>
    </row>
    <row r="2988" spans="3:12">
      <c r="C2988">
        <v>2100300025</v>
      </c>
      <c r="D2988">
        <v>6426000</v>
      </c>
      <c r="E2988" t="s">
        <v>188</v>
      </c>
      <c r="F2988">
        <v>5210010105</v>
      </c>
      <c r="G2988" s="13">
        <v>64628</v>
      </c>
      <c r="I2988" t="s">
        <v>179</v>
      </c>
      <c r="J2988" t="s">
        <v>921</v>
      </c>
      <c r="K2988" t="s">
        <v>180</v>
      </c>
      <c r="L2988">
        <v>200046435</v>
      </c>
    </row>
    <row r="2989" spans="3:12">
      <c r="C2989">
        <v>2100300025</v>
      </c>
      <c r="D2989">
        <v>6426000</v>
      </c>
      <c r="E2989" t="s">
        <v>188</v>
      </c>
      <c r="F2989">
        <v>5210010105</v>
      </c>
      <c r="G2989" s="13">
        <v>22121</v>
      </c>
      <c r="I2989" t="s">
        <v>179</v>
      </c>
      <c r="J2989" t="s">
        <v>921</v>
      </c>
      <c r="K2989" t="s">
        <v>180</v>
      </c>
      <c r="L2989">
        <v>200046815</v>
      </c>
    </row>
    <row r="2990" spans="3:12">
      <c r="C2990">
        <v>2100300025</v>
      </c>
      <c r="D2990">
        <v>6426000</v>
      </c>
      <c r="E2990" t="s">
        <v>188</v>
      </c>
      <c r="F2990">
        <v>5210010105</v>
      </c>
      <c r="G2990" s="13">
        <v>6000</v>
      </c>
      <c r="I2990" t="s">
        <v>179</v>
      </c>
      <c r="J2990" t="s">
        <v>921</v>
      </c>
      <c r="K2990" t="s">
        <v>180</v>
      </c>
      <c r="L2990">
        <v>200046816</v>
      </c>
    </row>
    <row r="2991" spans="3:12">
      <c r="C2991">
        <v>2100300025</v>
      </c>
      <c r="D2991">
        <v>6426000</v>
      </c>
      <c r="E2991" t="s">
        <v>188</v>
      </c>
      <c r="F2991">
        <v>5210010105</v>
      </c>
      <c r="G2991" s="13">
        <v>9000</v>
      </c>
      <c r="I2991" t="s">
        <v>179</v>
      </c>
      <c r="J2991" t="s">
        <v>922</v>
      </c>
      <c r="K2991" t="s">
        <v>180</v>
      </c>
      <c r="L2991">
        <v>200049179</v>
      </c>
    </row>
    <row r="2992" spans="3:12">
      <c r="C2992">
        <v>2100300025</v>
      </c>
      <c r="D2992">
        <v>6426000</v>
      </c>
      <c r="E2992" t="s">
        <v>188</v>
      </c>
      <c r="F2992">
        <v>5210010105</v>
      </c>
      <c r="G2992" s="13">
        <v>133250</v>
      </c>
      <c r="I2992" t="s">
        <v>179</v>
      </c>
      <c r="J2992" t="s">
        <v>922</v>
      </c>
      <c r="K2992" t="s">
        <v>180</v>
      </c>
      <c r="L2992">
        <v>200048888</v>
      </c>
    </row>
    <row r="2993" spans="3:12">
      <c r="C2993">
        <v>2100300025</v>
      </c>
      <c r="D2993">
        <v>6426000</v>
      </c>
      <c r="E2993" t="s">
        <v>188</v>
      </c>
      <c r="F2993">
        <v>5210010105</v>
      </c>
      <c r="G2993" s="13">
        <v>101400</v>
      </c>
      <c r="I2993" t="s">
        <v>179</v>
      </c>
      <c r="J2993" t="s">
        <v>922</v>
      </c>
      <c r="K2993" t="s">
        <v>180</v>
      </c>
      <c r="L2993">
        <v>200048090</v>
      </c>
    </row>
    <row r="2994" spans="3:12">
      <c r="C2994">
        <v>2100300025</v>
      </c>
      <c r="D2994">
        <v>6426000</v>
      </c>
      <c r="E2994" t="s">
        <v>188</v>
      </c>
      <c r="F2994">
        <v>5210010105</v>
      </c>
      <c r="G2994" s="13">
        <v>1920</v>
      </c>
      <c r="I2994" t="s">
        <v>179</v>
      </c>
      <c r="J2994" t="s">
        <v>922</v>
      </c>
      <c r="K2994" t="s">
        <v>180</v>
      </c>
      <c r="L2994">
        <v>200049188</v>
      </c>
    </row>
    <row r="2995" spans="3:12">
      <c r="C2995">
        <v>2100300025</v>
      </c>
      <c r="D2995">
        <v>6426000</v>
      </c>
      <c r="E2995" t="s">
        <v>188</v>
      </c>
      <c r="F2995">
        <v>5210010105</v>
      </c>
      <c r="G2995" s="13">
        <v>2618.9</v>
      </c>
      <c r="I2995" t="s">
        <v>179</v>
      </c>
      <c r="J2995" t="s">
        <v>828</v>
      </c>
      <c r="K2995" t="s">
        <v>180</v>
      </c>
      <c r="L2995">
        <v>200045949</v>
      </c>
    </row>
    <row r="2996" spans="3:12">
      <c r="C2996">
        <v>2100300025</v>
      </c>
      <c r="D2996">
        <v>6426000</v>
      </c>
      <c r="E2996" t="s">
        <v>188</v>
      </c>
      <c r="F2996">
        <v>5210010105</v>
      </c>
      <c r="G2996" s="13">
        <v>6634</v>
      </c>
      <c r="I2996" t="s">
        <v>179</v>
      </c>
      <c r="J2996" t="s">
        <v>828</v>
      </c>
      <c r="K2996" t="s">
        <v>180</v>
      </c>
      <c r="L2996">
        <v>200034200</v>
      </c>
    </row>
    <row r="2997" spans="3:12">
      <c r="C2997">
        <v>2100300025</v>
      </c>
      <c r="D2997">
        <v>6426000</v>
      </c>
      <c r="E2997" t="s">
        <v>188</v>
      </c>
      <c r="F2997">
        <v>5210010105</v>
      </c>
      <c r="G2997" s="13">
        <v>2782</v>
      </c>
      <c r="I2997" t="s">
        <v>179</v>
      </c>
      <c r="J2997" t="s">
        <v>828</v>
      </c>
      <c r="K2997" t="s">
        <v>180</v>
      </c>
      <c r="L2997">
        <v>200046501</v>
      </c>
    </row>
    <row r="2998" spans="3:12">
      <c r="C2998">
        <v>2100300025</v>
      </c>
      <c r="D2998">
        <v>6426000</v>
      </c>
      <c r="E2998" t="s">
        <v>188</v>
      </c>
      <c r="F2998">
        <v>5210010105</v>
      </c>
      <c r="G2998">
        <v>134.4</v>
      </c>
      <c r="I2998" t="s">
        <v>179</v>
      </c>
      <c r="J2998" t="s">
        <v>828</v>
      </c>
      <c r="K2998" t="s">
        <v>180</v>
      </c>
      <c r="L2998">
        <v>200046502</v>
      </c>
    </row>
    <row r="2999" spans="3:12">
      <c r="C2999">
        <v>2100300025</v>
      </c>
      <c r="D2999">
        <v>6426000</v>
      </c>
      <c r="E2999" t="s">
        <v>188</v>
      </c>
      <c r="F2999">
        <v>5210010105</v>
      </c>
      <c r="G2999">
        <v>90</v>
      </c>
      <c r="I2999" t="s">
        <v>179</v>
      </c>
      <c r="J2999" t="s">
        <v>828</v>
      </c>
      <c r="K2999" t="s">
        <v>180</v>
      </c>
      <c r="L2999">
        <v>200046503</v>
      </c>
    </row>
    <row r="3000" spans="3:12">
      <c r="C3000">
        <v>2100300025</v>
      </c>
      <c r="D3000">
        <v>6426000</v>
      </c>
      <c r="E3000" t="s">
        <v>188</v>
      </c>
      <c r="F3000">
        <v>5210010105</v>
      </c>
      <c r="G3000">
        <v>51.56</v>
      </c>
      <c r="I3000" t="s">
        <v>179</v>
      </c>
      <c r="J3000" t="s">
        <v>828</v>
      </c>
      <c r="K3000" t="s">
        <v>180</v>
      </c>
      <c r="L3000">
        <v>200046504</v>
      </c>
    </row>
    <row r="3001" spans="3:12">
      <c r="C3001">
        <v>2100300025</v>
      </c>
      <c r="D3001">
        <v>6426000</v>
      </c>
      <c r="E3001" t="s">
        <v>188</v>
      </c>
      <c r="F3001">
        <v>5210010105</v>
      </c>
      <c r="G3001">
        <v>128.4</v>
      </c>
      <c r="I3001" t="s">
        <v>179</v>
      </c>
      <c r="J3001" t="s">
        <v>828</v>
      </c>
      <c r="K3001" t="s">
        <v>180</v>
      </c>
      <c r="L3001">
        <v>200046505</v>
      </c>
    </row>
    <row r="3002" spans="3:12">
      <c r="C3002">
        <v>2100300025</v>
      </c>
      <c r="D3002">
        <v>6426000</v>
      </c>
      <c r="E3002" t="s">
        <v>188</v>
      </c>
      <c r="F3002">
        <v>5210010105</v>
      </c>
      <c r="G3002" s="13">
        <v>1100</v>
      </c>
      <c r="I3002" t="s">
        <v>179</v>
      </c>
      <c r="J3002" t="s">
        <v>828</v>
      </c>
      <c r="K3002" t="s">
        <v>180</v>
      </c>
      <c r="L3002">
        <v>200046506</v>
      </c>
    </row>
    <row r="3003" spans="3:12">
      <c r="C3003">
        <v>2100300025</v>
      </c>
      <c r="D3003">
        <v>6426000</v>
      </c>
      <c r="E3003" t="s">
        <v>188</v>
      </c>
      <c r="F3003">
        <v>5210010105</v>
      </c>
      <c r="G3003" s="13">
        <v>12058.9</v>
      </c>
      <c r="I3003" t="s">
        <v>179</v>
      </c>
      <c r="J3003" t="s">
        <v>828</v>
      </c>
      <c r="K3003" t="s">
        <v>180</v>
      </c>
      <c r="L3003">
        <v>200045954</v>
      </c>
    </row>
    <row r="3004" spans="3:12">
      <c r="C3004">
        <v>2100300025</v>
      </c>
      <c r="D3004">
        <v>6426000</v>
      </c>
      <c r="E3004" t="s">
        <v>188</v>
      </c>
      <c r="F3004">
        <v>5210010105</v>
      </c>
      <c r="G3004" s="13">
        <v>16200</v>
      </c>
      <c r="I3004" t="s">
        <v>179</v>
      </c>
      <c r="J3004" t="s">
        <v>828</v>
      </c>
      <c r="K3004" t="s">
        <v>180</v>
      </c>
      <c r="L3004">
        <v>200045492</v>
      </c>
    </row>
    <row r="3005" spans="3:12">
      <c r="C3005">
        <v>2100300025</v>
      </c>
      <c r="D3005">
        <v>6426000</v>
      </c>
      <c r="E3005" t="s">
        <v>188</v>
      </c>
      <c r="F3005">
        <v>5210010105</v>
      </c>
      <c r="G3005" s="13">
        <v>1260</v>
      </c>
      <c r="I3005" t="s">
        <v>179</v>
      </c>
      <c r="J3005" t="s">
        <v>828</v>
      </c>
      <c r="K3005" t="s">
        <v>180</v>
      </c>
      <c r="L3005">
        <v>200045493</v>
      </c>
    </row>
    <row r="3006" spans="3:12">
      <c r="C3006">
        <v>2100300025</v>
      </c>
      <c r="D3006">
        <v>6426000</v>
      </c>
      <c r="E3006" t="s">
        <v>188</v>
      </c>
      <c r="F3006">
        <v>5210010105</v>
      </c>
      <c r="G3006" s="13">
        <v>5600</v>
      </c>
      <c r="I3006" t="s">
        <v>179</v>
      </c>
      <c r="J3006" t="s">
        <v>828</v>
      </c>
      <c r="K3006" t="s">
        <v>180</v>
      </c>
      <c r="L3006">
        <v>200045955</v>
      </c>
    </row>
    <row r="3007" spans="3:12">
      <c r="C3007">
        <v>2100300025</v>
      </c>
      <c r="D3007">
        <v>6426000</v>
      </c>
      <c r="E3007" t="s">
        <v>188</v>
      </c>
      <c r="F3007">
        <v>5210010105</v>
      </c>
      <c r="G3007">
        <v>207</v>
      </c>
      <c r="I3007" t="s">
        <v>179</v>
      </c>
      <c r="J3007" t="s">
        <v>828</v>
      </c>
      <c r="K3007" t="s">
        <v>180</v>
      </c>
      <c r="L3007">
        <v>200045956</v>
      </c>
    </row>
    <row r="3008" spans="3:12">
      <c r="C3008">
        <v>2100300025</v>
      </c>
      <c r="D3008">
        <v>6426000</v>
      </c>
      <c r="E3008" t="s">
        <v>188</v>
      </c>
      <c r="F3008">
        <v>5210010105</v>
      </c>
      <c r="G3008" s="13">
        <v>14445</v>
      </c>
      <c r="I3008" t="s">
        <v>179</v>
      </c>
      <c r="J3008" t="s">
        <v>828</v>
      </c>
      <c r="K3008" t="s">
        <v>180</v>
      </c>
      <c r="L3008">
        <v>200046053</v>
      </c>
    </row>
    <row r="3009" spans="3:12">
      <c r="C3009">
        <v>2100300025</v>
      </c>
      <c r="D3009">
        <v>6426000</v>
      </c>
      <c r="E3009" t="s">
        <v>188</v>
      </c>
      <c r="F3009">
        <v>5210010105</v>
      </c>
      <c r="G3009" s="13">
        <v>7918</v>
      </c>
      <c r="I3009" t="s">
        <v>179</v>
      </c>
      <c r="J3009" t="s">
        <v>828</v>
      </c>
      <c r="K3009" t="s">
        <v>180</v>
      </c>
      <c r="L3009">
        <v>200046054</v>
      </c>
    </row>
    <row r="3010" spans="3:12">
      <c r="C3010">
        <v>2100300025</v>
      </c>
      <c r="D3010">
        <v>6426000</v>
      </c>
      <c r="E3010" t="s">
        <v>188</v>
      </c>
      <c r="F3010">
        <v>5210010105</v>
      </c>
      <c r="G3010" s="13">
        <v>7700</v>
      </c>
      <c r="I3010" t="s">
        <v>179</v>
      </c>
      <c r="J3010" t="s">
        <v>828</v>
      </c>
      <c r="K3010" t="s">
        <v>180</v>
      </c>
      <c r="L3010">
        <v>200036543</v>
      </c>
    </row>
    <row r="3011" spans="3:12">
      <c r="C3011">
        <v>2100300025</v>
      </c>
      <c r="D3011">
        <v>6426000</v>
      </c>
      <c r="E3011" t="s">
        <v>188</v>
      </c>
      <c r="F3011">
        <v>5210010105</v>
      </c>
      <c r="G3011">
        <v>108</v>
      </c>
      <c r="I3011" t="s">
        <v>179</v>
      </c>
      <c r="J3011" t="s">
        <v>828</v>
      </c>
      <c r="K3011" t="s">
        <v>180</v>
      </c>
      <c r="L3011">
        <v>200036544</v>
      </c>
    </row>
    <row r="3012" spans="3:12">
      <c r="C3012">
        <v>2100300025</v>
      </c>
      <c r="D3012">
        <v>6426000</v>
      </c>
      <c r="E3012" t="s">
        <v>188</v>
      </c>
      <c r="F3012">
        <v>5210010105</v>
      </c>
      <c r="G3012" s="13">
        <v>11170.8</v>
      </c>
      <c r="I3012" t="s">
        <v>179</v>
      </c>
      <c r="J3012" t="s">
        <v>828</v>
      </c>
      <c r="K3012" t="s">
        <v>180</v>
      </c>
      <c r="L3012">
        <v>200045532</v>
      </c>
    </row>
    <row r="3013" spans="3:12">
      <c r="C3013">
        <v>2100300025</v>
      </c>
      <c r="D3013">
        <v>6426000</v>
      </c>
      <c r="E3013" t="s">
        <v>188</v>
      </c>
      <c r="F3013">
        <v>5210010105</v>
      </c>
      <c r="G3013">
        <v>556.38</v>
      </c>
      <c r="I3013" t="s">
        <v>179</v>
      </c>
      <c r="J3013" t="s">
        <v>828</v>
      </c>
      <c r="K3013" t="s">
        <v>180</v>
      </c>
      <c r="L3013">
        <v>200045533</v>
      </c>
    </row>
    <row r="3014" spans="3:12">
      <c r="C3014">
        <v>2100300025</v>
      </c>
      <c r="D3014">
        <v>6426000</v>
      </c>
      <c r="E3014" t="s">
        <v>188</v>
      </c>
      <c r="F3014">
        <v>5210010105</v>
      </c>
      <c r="G3014" s="13">
        <v>12000</v>
      </c>
      <c r="I3014" t="s">
        <v>179</v>
      </c>
      <c r="J3014" t="s">
        <v>828</v>
      </c>
      <c r="K3014" t="s">
        <v>180</v>
      </c>
      <c r="L3014">
        <v>200045494</v>
      </c>
    </row>
    <row r="3015" spans="3:12">
      <c r="C3015">
        <v>2100300025</v>
      </c>
      <c r="D3015">
        <v>6426000</v>
      </c>
      <c r="E3015" t="s">
        <v>188</v>
      </c>
      <c r="F3015">
        <v>5210010105</v>
      </c>
      <c r="G3015">
        <v>134</v>
      </c>
      <c r="I3015" t="s">
        <v>179</v>
      </c>
      <c r="J3015" t="s">
        <v>828</v>
      </c>
      <c r="K3015" t="s">
        <v>180</v>
      </c>
      <c r="L3015">
        <v>200045495</v>
      </c>
    </row>
    <row r="3016" spans="3:12">
      <c r="C3016">
        <v>2100300025</v>
      </c>
      <c r="D3016">
        <v>6426000</v>
      </c>
      <c r="E3016" t="s">
        <v>188</v>
      </c>
      <c r="F3016">
        <v>5210010105</v>
      </c>
      <c r="G3016" s="13">
        <v>9000</v>
      </c>
      <c r="I3016" t="s">
        <v>179</v>
      </c>
      <c r="J3016" t="s">
        <v>828</v>
      </c>
      <c r="K3016" t="s">
        <v>180</v>
      </c>
      <c r="L3016">
        <v>200045496</v>
      </c>
    </row>
    <row r="3017" spans="3:12">
      <c r="C3017">
        <v>2100300025</v>
      </c>
      <c r="D3017">
        <v>6426000</v>
      </c>
      <c r="E3017" t="s">
        <v>188</v>
      </c>
      <c r="F3017">
        <v>5210010105</v>
      </c>
      <c r="G3017">
        <v>750</v>
      </c>
      <c r="I3017" t="s">
        <v>179</v>
      </c>
      <c r="J3017" t="s">
        <v>828</v>
      </c>
      <c r="K3017" t="s">
        <v>180</v>
      </c>
      <c r="L3017">
        <v>200045497</v>
      </c>
    </row>
    <row r="3018" spans="3:12">
      <c r="C3018">
        <v>2100300025</v>
      </c>
      <c r="D3018">
        <v>6426000</v>
      </c>
      <c r="E3018" t="s">
        <v>188</v>
      </c>
      <c r="F3018">
        <v>5210010105</v>
      </c>
      <c r="G3018">
        <v>95</v>
      </c>
      <c r="I3018" t="s">
        <v>179</v>
      </c>
      <c r="J3018" t="s">
        <v>828</v>
      </c>
      <c r="K3018" t="s">
        <v>180</v>
      </c>
      <c r="L3018">
        <v>200045498</v>
      </c>
    </row>
    <row r="3019" spans="3:12">
      <c r="C3019">
        <v>2100300025</v>
      </c>
      <c r="D3019">
        <v>6426000</v>
      </c>
      <c r="E3019" t="s">
        <v>188</v>
      </c>
      <c r="F3019">
        <v>5210010105</v>
      </c>
      <c r="G3019" s="13">
        <v>96000</v>
      </c>
      <c r="I3019" t="s">
        <v>179</v>
      </c>
      <c r="J3019" t="s">
        <v>829</v>
      </c>
      <c r="K3019" t="s">
        <v>180</v>
      </c>
      <c r="L3019">
        <v>200052333</v>
      </c>
    </row>
    <row r="3020" spans="3:12">
      <c r="C3020">
        <v>2100300025</v>
      </c>
      <c r="D3020">
        <v>6426000</v>
      </c>
      <c r="E3020" t="s">
        <v>188</v>
      </c>
      <c r="F3020">
        <v>5210010105</v>
      </c>
      <c r="G3020" s="13">
        <v>8000</v>
      </c>
      <c r="I3020" t="s">
        <v>179</v>
      </c>
      <c r="J3020" t="s">
        <v>829</v>
      </c>
      <c r="K3020" t="s">
        <v>180</v>
      </c>
      <c r="L3020">
        <v>200052025</v>
      </c>
    </row>
    <row r="3021" spans="3:12">
      <c r="C3021">
        <v>2100300025</v>
      </c>
      <c r="D3021">
        <v>6426000</v>
      </c>
      <c r="E3021" t="s">
        <v>188</v>
      </c>
      <c r="F3021">
        <v>5210010105</v>
      </c>
      <c r="G3021" s="13">
        <v>239787</v>
      </c>
      <c r="I3021" t="s">
        <v>179</v>
      </c>
      <c r="J3021" t="s">
        <v>829</v>
      </c>
      <c r="K3021" t="s">
        <v>180</v>
      </c>
      <c r="L3021">
        <v>200051364</v>
      </c>
    </row>
    <row r="3022" spans="3:12">
      <c r="C3022">
        <v>2100300025</v>
      </c>
      <c r="D3022">
        <v>6426000</v>
      </c>
      <c r="E3022" t="s">
        <v>188</v>
      </c>
      <c r="F3022">
        <v>5210010105</v>
      </c>
      <c r="G3022" s="13">
        <v>7130</v>
      </c>
      <c r="I3022" t="s">
        <v>179</v>
      </c>
      <c r="J3022" t="s">
        <v>829</v>
      </c>
      <c r="K3022" t="s">
        <v>180</v>
      </c>
      <c r="L3022">
        <v>200052026</v>
      </c>
    </row>
    <row r="3023" spans="3:12">
      <c r="C3023">
        <v>2100300025</v>
      </c>
      <c r="D3023">
        <v>6426000</v>
      </c>
      <c r="E3023" t="s">
        <v>188</v>
      </c>
      <c r="F3023">
        <v>5210010105</v>
      </c>
      <c r="G3023" s="13">
        <v>8750</v>
      </c>
      <c r="I3023" t="s">
        <v>179</v>
      </c>
      <c r="J3023" t="s">
        <v>829</v>
      </c>
      <c r="K3023" t="s">
        <v>180</v>
      </c>
      <c r="L3023">
        <v>200051545</v>
      </c>
    </row>
    <row r="3024" spans="3:12">
      <c r="C3024">
        <v>2100300025</v>
      </c>
      <c r="D3024">
        <v>6426000</v>
      </c>
      <c r="E3024" t="s">
        <v>188</v>
      </c>
      <c r="F3024">
        <v>5210010105</v>
      </c>
      <c r="G3024" s="13">
        <v>16800</v>
      </c>
      <c r="I3024" t="s">
        <v>179</v>
      </c>
      <c r="J3024" t="s">
        <v>829</v>
      </c>
      <c r="K3024" t="s">
        <v>180</v>
      </c>
      <c r="L3024">
        <v>200051546</v>
      </c>
    </row>
    <row r="3025" spans="3:12">
      <c r="C3025">
        <v>2100300025</v>
      </c>
      <c r="D3025">
        <v>6426000</v>
      </c>
      <c r="E3025" t="s">
        <v>188</v>
      </c>
      <c r="F3025">
        <v>5210010105</v>
      </c>
      <c r="G3025" s="13">
        <v>109724.22</v>
      </c>
      <c r="I3025" t="s">
        <v>179</v>
      </c>
      <c r="J3025" t="s">
        <v>829</v>
      </c>
      <c r="K3025" t="s">
        <v>180</v>
      </c>
      <c r="L3025">
        <v>200050976</v>
      </c>
    </row>
    <row r="3026" spans="3:12">
      <c r="C3026">
        <v>2100300025</v>
      </c>
      <c r="D3026">
        <v>6426000</v>
      </c>
      <c r="E3026" t="s">
        <v>188</v>
      </c>
      <c r="F3026">
        <v>5210010105</v>
      </c>
      <c r="G3026" s="13">
        <v>96942</v>
      </c>
      <c r="I3026" t="s">
        <v>179</v>
      </c>
      <c r="J3026" t="s">
        <v>829</v>
      </c>
      <c r="K3026" t="s">
        <v>180</v>
      </c>
      <c r="L3026">
        <v>200049596</v>
      </c>
    </row>
    <row r="3027" spans="3:12">
      <c r="C3027">
        <v>2100300025</v>
      </c>
      <c r="D3027">
        <v>6426000</v>
      </c>
      <c r="E3027" t="s">
        <v>188</v>
      </c>
      <c r="F3027">
        <v>5210010105</v>
      </c>
      <c r="G3027">
        <v>211.88</v>
      </c>
      <c r="I3027" t="s">
        <v>179</v>
      </c>
      <c r="J3027" t="s">
        <v>829</v>
      </c>
      <c r="K3027" t="s">
        <v>180</v>
      </c>
      <c r="L3027">
        <v>200051547</v>
      </c>
    </row>
    <row r="3028" spans="3:12">
      <c r="C3028">
        <v>2100300025</v>
      </c>
      <c r="D3028">
        <v>6426000</v>
      </c>
      <c r="E3028" t="s">
        <v>188</v>
      </c>
      <c r="F3028">
        <v>5210010105</v>
      </c>
      <c r="G3028" s="13">
        <v>6750</v>
      </c>
      <c r="I3028" t="s">
        <v>179</v>
      </c>
      <c r="J3028" t="s">
        <v>829</v>
      </c>
      <c r="K3028" t="s">
        <v>180</v>
      </c>
      <c r="L3028">
        <v>200051548</v>
      </c>
    </row>
    <row r="3029" spans="3:12">
      <c r="C3029">
        <v>2100300025</v>
      </c>
      <c r="D3029">
        <v>6426000</v>
      </c>
      <c r="E3029" t="s">
        <v>188</v>
      </c>
      <c r="F3029">
        <v>5210010105</v>
      </c>
      <c r="G3029">
        <v>285</v>
      </c>
      <c r="I3029" t="s">
        <v>179</v>
      </c>
      <c r="J3029" t="s">
        <v>829</v>
      </c>
      <c r="K3029" t="s">
        <v>180</v>
      </c>
      <c r="L3029">
        <v>200051549</v>
      </c>
    </row>
    <row r="3030" spans="3:12">
      <c r="C3030">
        <v>2100300025</v>
      </c>
      <c r="D3030">
        <v>6426000</v>
      </c>
      <c r="E3030" t="s">
        <v>188</v>
      </c>
      <c r="F3030">
        <v>5210010105</v>
      </c>
      <c r="G3030">
        <v>107</v>
      </c>
      <c r="I3030" t="s">
        <v>179</v>
      </c>
      <c r="J3030" t="s">
        <v>829</v>
      </c>
      <c r="K3030" t="s">
        <v>180</v>
      </c>
      <c r="L3030">
        <v>200051328</v>
      </c>
    </row>
    <row r="3031" spans="3:12">
      <c r="C3031">
        <v>2100300025</v>
      </c>
      <c r="D3031">
        <v>6426000</v>
      </c>
      <c r="E3031" t="s">
        <v>188</v>
      </c>
      <c r="F3031">
        <v>5210010105</v>
      </c>
      <c r="G3031" s="13">
        <v>19800</v>
      </c>
      <c r="I3031" t="s">
        <v>179</v>
      </c>
      <c r="J3031" t="s">
        <v>829</v>
      </c>
      <c r="K3031" t="s">
        <v>180</v>
      </c>
      <c r="L3031">
        <v>200051329</v>
      </c>
    </row>
    <row r="3032" spans="3:12">
      <c r="C3032">
        <v>2100300025</v>
      </c>
      <c r="D3032">
        <v>6426000</v>
      </c>
      <c r="E3032" t="s">
        <v>188</v>
      </c>
      <c r="F3032">
        <v>5210010105</v>
      </c>
      <c r="G3032">
        <v>880</v>
      </c>
      <c r="I3032" t="s">
        <v>179</v>
      </c>
      <c r="J3032" t="s">
        <v>829</v>
      </c>
      <c r="K3032" t="s">
        <v>180</v>
      </c>
      <c r="L3032">
        <v>200051330</v>
      </c>
    </row>
    <row r="3033" spans="3:12">
      <c r="C3033">
        <v>2100300025</v>
      </c>
      <c r="D3033">
        <v>6426000</v>
      </c>
      <c r="E3033" t="s">
        <v>188</v>
      </c>
      <c r="F3033">
        <v>5210010105</v>
      </c>
      <c r="G3033" s="13">
        <v>5136</v>
      </c>
      <c r="I3033" t="s">
        <v>179</v>
      </c>
      <c r="J3033" t="s">
        <v>829</v>
      </c>
      <c r="K3033" t="s">
        <v>180</v>
      </c>
      <c r="L3033">
        <v>200051331</v>
      </c>
    </row>
    <row r="3034" spans="3:12">
      <c r="C3034">
        <v>2100300025</v>
      </c>
      <c r="D3034">
        <v>6426000</v>
      </c>
      <c r="E3034" t="s">
        <v>188</v>
      </c>
      <c r="F3034">
        <v>5210010105</v>
      </c>
      <c r="G3034">
        <v>440</v>
      </c>
      <c r="I3034" t="s">
        <v>179</v>
      </c>
      <c r="J3034" t="s">
        <v>829</v>
      </c>
      <c r="K3034" t="s">
        <v>180</v>
      </c>
      <c r="L3034">
        <v>200050984</v>
      </c>
    </row>
    <row r="3035" spans="3:12">
      <c r="C3035">
        <v>2100300025</v>
      </c>
      <c r="D3035">
        <v>6426000</v>
      </c>
      <c r="E3035" t="s">
        <v>188</v>
      </c>
      <c r="F3035">
        <v>5210010105</v>
      </c>
      <c r="G3035" s="13">
        <v>6670</v>
      </c>
      <c r="I3035" t="s">
        <v>179</v>
      </c>
      <c r="J3035" t="s">
        <v>829</v>
      </c>
      <c r="K3035" t="s">
        <v>180</v>
      </c>
      <c r="L3035">
        <v>200050985</v>
      </c>
    </row>
    <row r="3036" spans="3:12">
      <c r="C3036">
        <v>2100300025</v>
      </c>
      <c r="D3036">
        <v>6426000</v>
      </c>
      <c r="E3036" t="s">
        <v>188</v>
      </c>
      <c r="F3036">
        <v>5210010105</v>
      </c>
      <c r="G3036">
        <v>580</v>
      </c>
      <c r="I3036" t="s">
        <v>179</v>
      </c>
      <c r="J3036" t="s">
        <v>829</v>
      </c>
      <c r="K3036" t="s">
        <v>180</v>
      </c>
      <c r="L3036">
        <v>200050986</v>
      </c>
    </row>
    <row r="3037" spans="3:12">
      <c r="C3037">
        <v>2100300025</v>
      </c>
      <c r="D3037">
        <v>6426000</v>
      </c>
      <c r="E3037" t="s">
        <v>188</v>
      </c>
      <c r="F3037">
        <v>5210010105</v>
      </c>
      <c r="G3037" s="13">
        <v>10165</v>
      </c>
      <c r="I3037" t="s">
        <v>179</v>
      </c>
      <c r="J3037" t="s">
        <v>830</v>
      </c>
      <c r="K3037" t="s">
        <v>180</v>
      </c>
      <c r="L3037">
        <v>200046036</v>
      </c>
    </row>
    <row r="3038" spans="3:12">
      <c r="C3038">
        <v>2100300025</v>
      </c>
      <c r="D3038">
        <v>6426000</v>
      </c>
      <c r="E3038" t="s">
        <v>188</v>
      </c>
      <c r="F3038">
        <v>5210010105</v>
      </c>
      <c r="G3038" s="13">
        <v>10620</v>
      </c>
      <c r="I3038" t="s">
        <v>179</v>
      </c>
      <c r="J3038" t="s">
        <v>925</v>
      </c>
      <c r="K3038" t="s">
        <v>180</v>
      </c>
      <c r="L3038">
        <v>200049590</v>
      </c>
    </row>
    <row r="3039" spans="3:12">
      <c r="C3039">
        <v>2100300025</v>
      </c>
      <c r="D3039">
        <v>6426000</v>
      </c>
      <c r="E3039" t="s">
        <v>188</v>
      </c>
      <c r="F3039">
        <v>5210010105</v>
      </c>
      <c r="G3039" s="13">
        <v>45000</v>
      </c>
      <c r="I3039" t="s">
        <v>179</v>
      </c>
      <c r="J3039" t="s">
        <v>925</v>
      </c>
      <c r="K3039" t="s">
        <v>180</v>
      </c>
      <c r="L3039">
        <v>200050955</v>
      </c>
    </row>
    <row r="3040" spans="3:12">
      <c r="C3040">
        <v>2100300025</v>
      </c>
      <c r="D3040">
        <v>6426000</v>
      </c>
      <c r="E3040" t="s">
        <v>188</v>
      </c>
      <c r="F3040">
        <v>5210010105</v>
      </c>
      <c r="G3040" s="13">
        <v>322500</v>
      </c>
      <c r="I3040" t="s">
        <v>179</v>
      </c>
      <c r="J3040" t="s">
        <v>925</v>
      </c>
      <c r="K3040" t="s">
        <v>180</v>
      </c>
      <c r="L3040">
        <v>200049591</v>
      </c>
    </row>
    <row r="3041" spans="3:12">
      <c r="C3041">
        <v>2100300025</v>
      </c>
      <c r="D3041">
        <v>6426000</v>
      </c>
      <c r="E3041" t="s">
        <v>188</v>
      </c>
      <c r="F3041">
        <v>5210010105</v>
      </c>
      <c r="G3041" s="13">
        <v>8259</v>
      </c>
      <c r="I3041" t="s">
        <v>179</v>
      </c>
      <c r="J3041" t="s">
        <v>926</v>
      </c>
      <c r="K3041" t="s">
        <v>180</v>
      </c>
      <c r="L3041">
        <v>200054886</v>
      </c>
    </row>
    <row r="3042" spans="3:12">
      <c r="C3042">
        <v>2100300025</v>
      </c>
      <c r="D3042">
        <v>6426000</v>
      </c>
      <c r="E3042" t="s">
        <v>188</v>
      </c>
      <c r="F3042">
        <v>5210010105</v>
      </c>
      <c r="G3042" s="13">
        <v>128400</v>
      </c>
      <c r="I3042" t="s">
        <v>179</v>
      </c>
      <c r="J3042" t="s">
        <v>926</v>
      </c>
      <c r="K3042" t="s">
        <v>180</v>
      </c>
      <c r="L3042">
        <v>200054569</v>
      </c>
    </row>
    <row r="3043" spans="3:12">
      <c r="C3043">
        <v>2100300025</v>
      </c>
      <c r="D3043">
        <v>6426000</v>
      </c>
      <c r="E3043" t="s">
        <v>188</v>
      </c>
      <c r="F3043">
        <v>5210010105</v>
      </c>
      <c r="G3043" s="13">
        <v>68629.8</v>
      </c>
      <c r="I3043" t="s">
        <v>179</v>
      </c>
      <c r="J3043" t="s">
        <v>926</v>
      </c>
      <c r="K3043" t="s">
        <v>180</v>
      </c>
      <c r="L3043">
        <v>200055304</v>
      </c>
    </row>
    <row r="3044" spans="3:12">
      <c r="C3044">
        <v>2100300025</v>
      </c>
      <c r="D3044">
        <v>6426000</v>
      </c>
      <c r="E3044" t="s">
        <v>188</v>
      </c>
      <c r="F3044">
        <v>5210010105</v>
      </c>
      <c r="G3044" s="13">
        <v>5750</v>
      </c>
      <c r="I3044" t="s">
        <v>179</v>
      </c>
      <c r="J3044" t="s">
        <v>926</v>
      </c>
      <c r="K3044" t="s">
        <v>180</v>
      </c>
      <c r="L3044">
        <v>200054887</v>
      </c>
    </row>
    <row r="3045" spans="3:12">
      <c r="C3045">
        <v>2100300025</v>
      </c>
      <c r="D3045">
        <v>6426000</v>
      </c>
      <c r="E3045" t="s">
        <v>188</v>
      </c>
      <c r="F3045">
        <v>5210010105</v>
      </c>
      <c r="G3045" s="13">
        <v>81000</v>
      </c>
      <c r="I3045" t="s">
        <v>179</v>
      </c>
      <c r="J3045" t="s">
        <v>830</v>
      </c>
      <c r="K3045" t="s">
        <v>180</v>
      </c>
      <c r="L3045">
        <v>200045457</v>
      </c>
    </row>
    <row r="3046" spans="3:12">
      <c r="C3046">
        <v>2100300025</v>
      </c>
      <c r="D3046">
        <v>6426000</v>
      </c>
      <c r="E3046" t="s">
        <v>188</v>
      </c>
      <c r="F3046">
        <v>5210010105</v>
      </c>
      <c r="G3046" s="13">
        <v>6600</v>
      </c>
      <c r="I3046" t="s">
        <v>179</v>
      </c>
      <c r="J3046" t="s">
        <v>830</v>
      </c>
      <c r="K3046" t="s">
        <v>180</v>
      </c>
      <c r="L3046">
        <v>200045458</v>
      </c>
    </row>
    <row r="3047" spans="3:12">
      <c r="C3047">
        <v>2100300025</v>
      </c>
      <c r="D3047">
        <v>6426000</v>
      </c>
      <c r="E3047" t="s">
        <v>188</v>
      </c>
      <c r="F3047">
        <v>5210010105</v>
      </c>
      <c r="G3047" s="13">
        <v>32500</v>
      </c>
      <c r="I3047" t="s">
        <v>179</v>
      </c>
      <c r="J3047" t="s">
        <v>830</v>
      </c>
      <c r="K3047" t="s">
        <v>180</v>
      </c>
      <c r="L3047">
        <v>200046007</v>
      </c>
    </row>
    <row r="3048" spans="3:12">
      <c r="C3048">
        <v>2100300025</v>
      </c>
      <c r="D3048">
        <v>6426000</v>
      </c>
      <c r="E3048" t="s">
        <v>188</v>
      </c>
      <c r="F3048">
        <v>5210010105</v>
      </c>
      <c r="G3048" s="13">
        <v>1267.95</v>
      </c>
      <c r="I3048" t="s">
        <v>179</v>
      </c>
      <c r="J3048" t="s">
        <v>830</v>
      </c>
      <c r="K3048" t="s">
        <v>180</v>
      </c>
      <c r="L3048">
        <v>200045513</v>
      </c>
    </row>
    <row r="3049" spans="3:12">
      <c r="C3049">
        <v>2100300025</v>
      </c>
      <c r="D3049">
        <v>6426000</v>
      </c>
      <c r="E3049" t="s">
        <v>188</v>
      </c>
      <c r="F3049">
        <v>5210010105</v>
      </c>
      <c r="G3049" s="13">
        <v>238180</v>
      </c>
      <c r="I3049" t="s">
        <v>179</v>
      </c>
      <c r="J3049" t="s">
        <v>801</v>
      </c>
      <c r="K3049" t="s">
        <v>180</v>
      </c>
      <c r="L3049">
        <v>200045592</v>
      </c>
    </row>
    <row r="3050" spans="3:12">
      <c r="C3050">
        <v>2100300025</v>
      </c>
      <c r="D3050">
        <v>6426000</v>
      </c>
      <c r="E3050" t="s">
        <v>188</v>
      </c>
      <c r="F3050">
        <v>5210010105</v>
      </c>
      <c r="G3050" s="13">
        <v>19500</v>
      </c>
      <c r="I3050" t="s">
        <v>179</v>
      </c>
      <c r="J3050" t="s">
        <v>926</v>
      </c>
      <c r="K3050" t="s">
        <v>180</v>
      </c>
      <c r="L3050">
        <v>200054921</v>
      </c>
    </row>
    <row r="3051" spans="3:12">
      <c r="C3051">
        <v>2100300025</v>
      </c>
      <c r="D3051">
        <v>6426000</v>
      </c>
      <c r="E3051" t="s">
        <v>188</v>
      </c>
      <c r="F3051">
        <v>5210010105</v>
      </c>
      <c r="G3051" s="13">
        <v>13174</v>
      </c>
      <c r="I3051" t="s">
        <v>179</v>
      </c>
      <c r="J3051" t="s">
        <v>564</v>
      </c>
      <c r="K3051" t="s">
        <v>180</v>
      </c>
      <c r="L3051">
        <v>200001112</v>
      </c>
    </row>
    <row r="3052" spans="3:12">
      <c r="C3052">
        <v>2100300025</v>
      </c>
      <c r="D3052">
        <v>6426000</v>
      </c>
      <c r="E3052" t="s">
        <v>188</v>
      </c>
      <c r="F3052">
        <v>5210010105</v>
      </c>
      <c r="G3052" s="13">
        <v>47550</v>
      </c>
      <c r="I3052" t="s">
        <v>179</v>
      </c>
      <c r="J3052" t="s">
        <v>564</v>
      </c>
      <c r="K3052" t="s">
        <v>180</v>
      </c>
      <c r="L3052">
        <v>200045508</v>
      </c>
    </row>
    <row r="3053" spans="3:12">
      <c r="C3053">
        <v>2100300025</v>
      </c>
      <c r="D3053">
        <v>6426000</v>
      </c>
      <c r="E3053" t="s">
        <v>188</v>
      </c>
      <c r="F3053">
        <v>5210010105</v>
      </c>
      <c r="G3053" s="13">
        <v>2940</v>
      </c>
      <c r="I3053" t="s">
        <v>179</v>
      </c>
      <c r="J3053" t="s">
        <v>564</v>
      </c>
      <c r="K3053" t="s">
        <v>180</v>
      </c>
      <c r="L3053">
        <v>200045276</v>
      </c>
    </row>
    <row r="3054" spans="3:12">
      <c r="C3054">
        <v>2100300025</v>
      </c>
      <c r="D3054">
        <v>6426000</v>
      </c>
      <c r="E3054" t="s">
        <v>188</v>
      </c>
      <c r="F3054">
        <v>5210010105</v>
      </c>
      <c r="G3054">
        <v>595</v>
      </c>
      <c r="I3054" t="s">
        <v>179</v>
      </c>
      <c r="J3054" t="s">
        <v>832</v>
      </c>
      <c r="K3054" t="s">
        <v>180</v>
      </c>
      <c r="L3054">
        <v>200054627</v>
      </c>
    </row>
    <row r="3055" spans="3:12">
      <c r="C3055">
        <v>2100300025</v>
      </c>
      <c r="D3055">
        <v>6426000</v>
      </c>
      <c r="E3055" t="s">
        <v>188</v>
      </c>
      <c r="F3055">
        <v>5210010105</v>
      </c>
      <c r="G3055" s="13">
        <v>2560</v>
      </c>
      <c r="I3055" t="s">
        <v>179</v>
      </c>
      <c r="J3055" t="s">
        <v>564</v>
      </c>
      <c r="K3055" t="s">
        <v>180</v>
      </c>
      <c r="L3055">
        <v>200044814</v>
      </c>
    </row>
    <row r="3056" spans="3:12">
      <c r="C3056">
        <v>2100300025</v>
      </c>
      <c r="D3056">
        <v>6426000</v>
      </c>
      <c r="E3056" t="s">
        <v>188</v>
      </c>
      <c r="F3056">
        <v>5210010105</v>
      </c>
      <c r="G3056" s="13">
        <v>48000</v>
      </c>
      <c r="I3056" t="s">
        <v>179</v>
      </c>
      <c r="J3056" t="s">
        <v>564</v>
      </c>
      <c r="K3056" t="s">
        <v>180</v>
      </c>
      <c r="L3056">
        <v>200043384</v>
      </c>
    </row>
    <row r="3057" spans="3:12">
      <c r="C3057">
        <v>2100300025</v>
      </c>
      <c r="D3057">
        <v>6426000</v>
      </c>
      <c r="E3057" t="s">
        <v>188</v>
      </c>
      <c r="F3057">
        <v>5210010105</v>
      </c>
      <c r="G3057" s="13">
        <v>30650</v>
      </c>
      <c r="I3057" t="s">
        <v>179</v>
      </c>
      <c r="J3057" t="s">
        <v>564</v>
      </c>
      <c r="K3057" t="s">
        <v>180</v>
      </c>
      <c r="L3057">
        <v>200044815</v>
      </c>
    </row>
    <row r="3058" spans="3:12">
      <c r="C3058">
        <v>2100300025</v>
      </c>
      <c r="D3058">
        <v>6426000</v>
      </c>
      <c r="E3058" t="s">
        <v>188</v>
      </c>
      <c r="F3058">
        <v>5210010105</v>
      </c>
      <c r="G3058" s="13">
        <v>14701.8</v>
      </c>
      <c r="I3058" t="s">
        <v>179</v>
      </c>
      <c r="J3058" t="s">
        <v>564</v>
      </c>
      <c r="K3058" t="s">
        <v>180</v>
      </c>
      <c r="L3058">
        <v>200045046</v>
      </c>
    </row>
    <row r="3059" spans="3:12">
      <c r="C3059">
        <v>2100300025</v>
      </c>
      <c r="D3059">
        <v>6426000</v>
      </c>
      <c r="E3059" t="s">
        <v>188</v>
      </c>
      <c r="F3059">
        <v>5210010105</v>
      </c>
      <c r="G3059" s="13">
        <v>2655.74</v>
      </c>
      <c r="I3059" t="s">
        <v>179</v>
      </c>
      <c r="J3059" t="s">
        <v>927</v>
      </c>
      <c r="K3059" t="s">
        <v>180</v>
      </c>
      <c r="L3059">
        <v>200047624</v>
      </c>
    </row>
    <row r="3060" spans="3:12">
      <c r="C3060">
        <v>2100300025</v>
      </c>
      <c r="D3060">
        <v>6426000</v>
      </c>
      <c r="E3060" t="s">
        <v>188</v>
      </c>
      <c r="F3060">
        <v>5210010105</v>
      </c>
      <c r="G3060" s="13">
        <v>4360</v>
      </c>
      <c r="I3060" t="s">
        <v>179</v>
      </c>
      <c r="J3060" t="s">
        <v>927</v>
      </c>
      <c r="K3060" t="s">
        <v>180</v>
      </c>
      <c r="L3060">
        <v>200047723</v>
      </c>
    </row>
    <row r="3061" spans="3:12">
      <c r="C3061">
        <v>2100300025</v>
      </c>
      <c r="D3061">
        <v>6426000</v>
      </c>
      <c r="E3061" t="s">
        <v>188</v>
      </c>
      <c r="F3061">
        <v>5210010105</v>
      </c>
      <c r="G3061" s="13">
        <v>6981</v>
      </c>
      <c r="I3061" t="s">
        <v>179</v>
      </c>
      <c r="J3061" t="s">
        <v>927</v>
      </c>
      <c r="K3061" t="s">
        <v>180</v>
      </c>
      <c r="L3061">
        <v>200047810</v>
      </c>
    </row>
    <row r="3062" spans="3:12">
      <c r="C3062">
        <v>2100300025</v>
      </c>
      <c r="D3062">
        <v>6426000</v>
      </c>
      <c r="E3062" t="s">
        <v>188</v>
      </c>
      <c r="F3062">
        <v>5210010105</v>
      </c>
      <c r="G3062" s="13">
        <v>22470</v>
      </c>
      <c r="I3062" t="s">
        <v>179</v>
      </c>
      <c r="J3062" t="s">
        <v>927</v>
      </c>
      <c r="K3062" t="s">
        <v>180</v>
      </c>
      <c r="L3062">
        <v>200046895</v>
      </c>
    </row>
    <row r="3063" spans="3:12">
      <c r="C3063">
        <v>2100300025</v>
      </c>
      <c r="D3063">
        <v>6426000</v>
      </c>
      <c r="E3063" t="s">
        <v>188</v>
      </c>
      <c r="F3063">
        <v>5210010105</v>
      </c>
      <c r="G3063" s="13">
        <v>73170</v>
      </c>
      <c r="I3063" t="s">
        <v>179</v>
      </c>
      <c r="J3063" t="s">
        <v>927</v>
      </c>
      <c r="K3063" t="s">
        <v>180</v>
      </c>
      <c r="L3063">
        <v>200046696</v>
      </c>
    </row>
    <row r="3064" spans="3:12">
      <c r="C3064">
        <v>2100300025</v>
      </c>
      <c r="D3064">
        <v>6426000</v>
      </c>
      <c r="E3064" t="s">
        <v>188</v>
      </c>
      <c r="F3064">
        <v>5210010105</v>
      </c>
      <c r="G3064" s="13">
        <v>47080</v>
      </c>
      <c r="I3064" t="s">
        <v>179</v>
      </c>
      <c r="J3064" t="s">
        <v>927</v>
      </c>
      <c r="K3064" t="s">
        <v>180</v>
      </c>
      <c r="L3064">
        <v>200005374</v>
      </c>
    </row>
    <row r="3065" spans="3:12">
      <c r="C3065">
        <v>2100300025</v>
      </c>
      <c r="D3065">
        <v>6426000</v>
      </c>
      <c r="E3065" t="s">
        <v>188</v>
      </c>
      <c r="F3065">
        <v>5210010105</v>
      </c>
      <c r="G3065" s="13">
        <v>27665</v>
      </c>
      <c r="I3065" t="s">
        <v>179</v>
      </c>
      <c r="J3065" t="s">
        <v>927</v>
      </c>
      <c r="K3065" t="s">
        <v>180</v>
      </c>
      <c r="L3065">
        <v>200047514</v>
      </c>
    </row>
    <row r="3066" spans="3:12">
      <c r="C3066">
        <v>2100300025</v>
      </c>
      <c r="D3066">
        <v>6426000</v>
      </c>
      <c r="E3066" t="s">
        <v>188</v>
      </c>
      <c r="F3066">
        <v>5210010105</v>
      </c>
      <c r="G3066" s="13">
        <v>5051</v>
      </c>
      <c r="I3066" t="s">
        <v>179</v>
      </c>
      <c r="J3066" t="s">
        <v>927</v>
      </c>
      <c r="K3066" t="s">
        <v>180</v>
      </c>
      <c r="L3066">
        <v>200047516</v>
      </c>
    </row>
    <row r="3067" spans="3:12">
      <c r="C3067">
        <v>2100300025</v>
      </c>
      <c r="D3067">
        <v>6426000</v>
      </c>
      <c r="E3067" t="s">
        <v>188</v>
      </c>
      <c r="F3067">
        <v>5210010105</v>
      </c>
      <c r="G3067" s="13">
        <v>14714</v>
      </c>
      <c r="I3067" t="s">
        <v>179</v>
      </c>
      <c r="J3067" t="s">
        <v>927</v>
      </c>
      <c r="K3067" t="s">
        <v>180</v>
      </c>
      <c r="L3067">
        <v>200046899</v>
      </c>
    </row>
    <row r="3068" spans="3:12">
      <c r="C3068">
        <v>2100300025</v>
      </c>
      <c r="D3068">
        <v>6426000</v>
      </c>
      <c r="E3068" t="s">
        <v>188</v>
      </c>
      <c r="F3068">
        <v>5210010105</v>
      </c>
      <c r="G3068" s="13">
        <v>21452</v>
      </c>
      <c r="I3068" t="s">
        <v>179</v>
      </c>
      <c r="J3068" t="s">
        <v>927</v>
      </c>
      <c r="K3068" t="s">
        <v>180</v>
      </c>
      <c r="L3068">
        <v>200047611</v>
      </c>
    </row>
    <row r="3069" spans="3:12">
      <c r="C3069">
        <v>2100300025</v>
      </c>
      <c r="D3069">
        <v>6426000</v>
      </c>
      <c r="E3069" t="s">
        <v>188</v>
      </c>
      <c r="F3069">
        <v>5210010105</v>
      </c>
      <c r="G3069" s="13">
        <v>1692131</v>
      </c>
      <c r="I3069" t="s">
        <v>179</v>
      </c>
      <c r="J3069" t="s">
        <v>928</v>
      </c>
      <c r="K3069" t="s">
        <v>180</v>
      </c>
      <c r="L3069">
        <v>200049527</v>
      </c>
    </row>
    <row r="3070" spans="3:12">
      <c r="C3070">
        <v>2100300025</v>
      </c>
      <c r="D3070">
        <v>6426000</v>
      </c>
      <c r="E3070" t="s">
        <v>188</v>
      </c>
      <c r="F3070">
        <v>5210010105</v>
      </c>
      <c r="G3070" s="13">
        <v>23590</v>
      </c>
      <c r="I3070" t="s">
        <v>179</v>
      </c>
      <c r="J3070" t="s">
        <v>929</v>
      </c>
      <c r="K3070" t="s">
        <v>180</v>
      </c>
      <c r="L3070">
        <v>200053802</v>
      </c>
    </row>
    <row r="3071" spans="3:12">
      <c r="C3071">
        <v>2100300025</v>
      </c>
      <c r="D3071">
        <v>6426000</v>
      </c>
      <c r="E3071" t="s">
        <v>188</v>
      </c>
      <c r="F3071">
        <v>5210010105</v>
      </c>
      <c r="G3071" s="13">
        <v>204397</v>
      </c>
      <c r="I3071" t="s">
        <v>179</v>
      </c>
      <c r="J3071" t="s">
        <v>929</v>
      </c>
      <c r="K3071" t="s">
        <v>180</v>
      </c>
      <c r="L3071">
        <v>200053803</v>
      </c>
    </row>
    <row r="3072" spans="3:12">
      <c r="C3072">
        <v>2100300025</v>
      </c>
      <c r="D3072">
        <v>6426000</v>
      </c>
      <c r="E3072" t="s">
        <v>188</v>
      </c>
      <c r="F3072">
        <v>5210010105</v>
      </c>
      <c r="G3072" s="13">
        <v>16576</v>
      </c>
      <c r="I3072" t="s">
        <v>179</v>
      </c>
      <c r="J3072" t="s">
        <v>929</v>
      </c>
      <c r="K3072" t="s">
        <v>180</v>
      </c>
      <c r="L3072">
        <v>200053804</v>
      </c>
    </row>
    <row r="3073" spans="3:12">
      <c r="C3073">
        <v>2100300025</v>
      </c>
      <c r="D3073">
        <v>6426000</v>
      </c>
      <c r="E3073" t="s">
        <v>188</v>
      </c>
      <c r="F3073">
        <v>5210010105</v>
      </c>
      <c r="G3073" s="13">
        <v>1200</v>
      </c>
      <c r="I3073" t="s">
        <v>179</v>
      </c>
      <c r="J3073" t="s">
        <v>929</v>
      </c>
      <c r="K3073" t="s">
        <v>180</v>
      </c>
      <c r="L3073">
        <v>200053808</v>
      </c>
    </row>
    <row r="3074" spans="3:12">
      <c r="C3074">
        <v>2100300025</v>
      </c>
      <c r="D3074">
        <v>6426000</v>
      </c>
      <c r="E3074" t="s">
        <v>188</v>
      </c>
      <c r="F3074">
        <v>5210010105</v>
      </c>
      <c r="G3074">
        <v>490</v>
      </c>
      <c r="I3074" t="s">
        <v>179</v>
      </c>
      <c r="J3074" t="s">
        <v>929</v>
      </c>
      <c r="K3074" t="s">
        <v>180</v>
      </c>
      <c r="L3074">
        <v>200053574</v>
      </c>
    </row>
    <row r="3075" spans="3:12">
      <c r="C3075">
        <v>2100300025</v>
      </c>
      <c r="D3075">
        <v>6426000</v>
      </c>
      <c r="E3075" t="s">
        <v>188</v>
      </c>
      <c r="F3075">
        <v>5210010105</v>
      </c>
      <c r="G3075" s="13">
        <v>53874.5</v>
      </c>
      <c r="I3075" t="s">
        <v>179</v>
      </c>
      <c r="J3075" t="s">
        <v>929</v>
      </c>
      <c r="K3075" t="s">
        <v>180</v>
      </c>
      <c r="L3075">
        <v>200053809</v>
      </c>
    </row>
    <row r="3076" spans="3:12">
      <c r="C3076">
        <v>2100300025</v>
      </c>
      <c r="D3076">
        <v>6426000</v>
      </c>
      <c r="E3076" t="s">
        <v>188</v>
      </c>
      <c r="F3076">
        <v>5210010105</v>
      </c>
      <c r="G3076">
        <v>240</v>
      </c>
      <c r="I3076" t="s">
        <v>179</v>
      </c>
      <c r="J3076" t="s">
        <v>929</v>
      </c>
      <c r="K3076" t="s">
        <v>180</v>
      </c>
      <c r="L3076">
        <v>200053407</v>
      </c>
    </row>
    <row r="3077" spans="3:12">
      <c r="C3077">
        <v>2100300025</v>
      </c>
      <c r="D3077">
        <v>6426000</v>
      </c>
      <c r="E3077" t="s">
        <v>188</v>
      </c>
      <c r="F3077">
        <v>5210010105</v>
      </c>
      <c r="G3077" s="13">
        <v>5980</v>
      </c>
      <c r="I3077" t="s">
        <v>179</v>
      </c>
      <c r="J3077" t="s">
        <v>929</v>
      </c>
      <c r="K3077" t="s">
        <v>180</v>
      </c>
      <c r="L3077">
        <v>200053408</v>
      </c>
    </row>
    <row r="3078" spans="3:12">
      <c r="C3078">
        <v>2100300025</v>
      </c>
      <c r="D3078">
        <v>6426000</v>
      </c>
      <c r="E3078" t="s">
        <v>188</v>
      </c>
      <c r="F3078">
        <v>5210010105</v>
      </c>
      <c r="G3078">
        <v>380</v>
      </c>
      <c r="I3078" t="s">
        <v>179</v>
      </c>
      <c r="J3078" t="s">
        <v>929</v>
      </c>
      <c r="K3078" t="s">
        <v>180</v>
      </c>
      <c r="L3078">
        <v>200053409</v>
      </c>
    </row>
    <row r="3079" spans="3:12">
      <c r="C3079">
        <v>2100300025</v>
      </c>
      <c r="D3079">
        <v>6426000</v>
      </c>
      <c r="E3079" t="s">
        <v>188</v>
      </c>
      <c r="F3079">
        <v>5210010105</v>
      </c>
      <c r="G3079" s="13">
        <v>1880</v>
      </c>
      <c r="I3079" t="s">
        <v>179</v>
      </c>
      <c r="J3079" t="s">
        <v>563</v>
      </c>
      <c r="K3079" t="s">
        <v>180</v>
      </c>
      <c r="L3079">
        <v>200055961</v>
      </c>
    </row>
    <row r="3080" spans="3:12">
      <c r="C3080">
        <v>2100300025</v>
      </c>
      <c r="D3080">
        <v>6426000</v>
      </c>
      <c r="E3080" t="s">
        <v>188</v>
      </c>
      <c r="F3080">
        <v>5210010105</v>
      </c>
      <c r="G3080" s="13">
        <v>12106</v>
      </c>
      <c r="I3080" t="s">
        <v>179</v>
      </c>
      <c r="J3080" t="s">
        <v>837</v>
      </c>
      <c r="K3080" t="s">
        <v>180</v>
      </c>
      <c r="L3080">
        <v>200057678</v>
      </c>
    </row>
    <row r="3081" spans="3:12">
      <c r="C3081">
        <v>2100300025</v>
      </c>
      <c r="D3081">
        <v>6426000</v>
      </c>
      <c r="E3081" t="s">
        <v>188</v>
      </c>
      <c r="F3081">
        <v>5210010105</v>
      </c>
      <c r="G3081" s="13">
        <v>1195080</v>
      </c>
      <c r="I3081" t="s">
        <v>179</v>
      </c>
      <c r="J3081" t="s">
        <v>930</v>
      </c>
      <c r="K3081" t="s">
        <v>180</v>
      </c>
      <c r="L3081">
        <v>200063048</v>
      </c>
    </row>
    <row r="3082" spans="3:12">
      <c r="C3082">
        <v>2100300025</v>
      </c>
      <c r="D3082">
        <v>6426000</v>
      </c>
      <c r="E3082" t="s">
        <v>188</v>
      </c>
      <c r="F3082">
        <v>5210010105</v>
      </c>
      <c r="G3082" s="13">
        <v>3390</v>
      </c>
      <c r="I3082" t="s">
        <v>179</v>
      </c>
      <c r="J3082" t="s">
        <v>931</v>
      </c>
      <c r="K3082" t="s">
        <v>180</v>
      </c>
      <c r="L3082">
        <v>200057381</v>
      </c>
    </row>
    <row r="3083" spans="3:12">
      <c r="C3083">
        <v>2100300025</v>
      </c>
      <c r="D3083">
        <v>6426000</v>
      </c>
      <c r="E3083" t="s">
        <v>188</v>
      </c>
      <c r="F3083">
        <v>5210010105</v>
      </c>
      <c r="G3083" s="13">
        <v>6000</v>
      </c>
      <c r="I3083" t="s">
        <v>179</v>
      </c>
      <c r="J3083" t="s">
        <v>931</v>
      </c>
      <c r="K3083" t="s">
        <v>180</v>
      </c>
      <c r="L3083">
        <v>200062262</v>
      </c>
    </row>
    <row r="3084" spans="3:12">
      <c r="C3084">
        <v>2100300025</v>
      </c>
      <c r="D3084">
        <v>6426000</v>
      </c>
      <c r="E3084" t="s">
        <v>188</v>
      </c>
      <c r="F3084">
        <v>5210010105</v>
      </c>
      <c r="G3084" s="13">
        <v>4000</v>
      </c>
      <c r="I3084" t="s">
        <v>179</v>
      </c>
      <c r="J3084" t="s">
        <v>931</v>
      </c>
      <c r="K3084" t="s">
        <v>180</v>
      </c>
      <c r="L3084">
        <v>200062607</v>
      </c>
    </row>
    <row r="3085" spans="3:12">
      <c r="C3085">
        <v>2100300025</v>
      </c>
      <c r="D3085">
        <v>6426000</v>
      </c>
      <c r="E3085" t="s">
        <v>188</v>
      </c>
      <c r="F3085">
        <v>5210010105</v>
      </c>
      <c r="G3085" s="13">
        <v>58762</v>
      </c>
      <c r="I3085" t="s">
        <v>179</v>
      </c>
      <c r="J3085" t="s">
        <v>931</v>
      </c>
      <c r="K3085" t="s">
        <v>180</v>
      </c>
      <c r="L3085">
        <v>200062263</v>
      </c>
    </row>
    <row r="3086" spans="3:12">
      <c r="C3086">
        <v>2100300025</v>
      </c>
      <c r="D3086">
        <v>6426000</v>
      </c>
      <c r="E3086" t="s">
        <v>188</v>
      </c>
      <c r="F3086">
        <v>5210010105</v>
      </c>
      <c r="G3086" s="13">
        <v>1170</v>
      </c>
      <c r="I3086" t="s">
        <v>179</v>
      </c>
      <c r="J3086" t="s">
        <v>931</v>
      </c>
      <c r="K3086" t="s">
        <v>180</v>
      </c>
      <c r="L3086">
        <v>200062264</v>
      </c>
    </row>
    <row r="3087" spans="3:12">
      <c r="C3087">
        <v>2100300025</v>
      </c>
      <c r="D3087">
        <v>6426000</v>
      </c>
      <c r="E3087" t="s">
        <v>188</v>
      </c>
      <c r="F3087">
        <v>5210010105</v>
      </c>
      <c r="G3087" s="13">
        <v>1273754.67</v>
      </c>
      <c r="I3087" t="s">
        <v>179</v>
      </c>
      <c r="J3087" t="s">
        <v>931</v>
      </c>
      <c r="K3087" t="s">
        <v>180</v>
      </c>
      <c r="L3087">
        <v>200062608</v>
      </c>
    </row>
    <row r="3088" spans="3:12">
      <c r="C3088">
        <v>2100300025</v>
      </c>
      <c r="D3088">
        <v>6426000</v>
      </c>
      <c r="E3088" t="s">
        <v>188</v>
      </c>
      <c r="F3088">
        <v>5210010105</v>
      </c>
      <c r="G3088" s="13">
        <v>60878</v>
      </c>
      <c r="I3088" t="s">
        <v>179</v>
      </c>
      <c r="J3088" t="s">
        <v>931</v>
      </c>
      <c r="K3088" t="s">
        <v>180</v>
      </c>
      <c r="L3088">
        <v>200062609</v>
      </c>
    </row>
    <row r="3089" spans="3:12">
      <c r="C3089">
        <v>2100300025</v>
      </c>
      <c r="D3089">
        <v>6426000</v>
      </c>
      <c r="E3089" t="s">
        <v>188</v>
      </c>
      <c r="F3089">
        <v>5210010105</v>
      </c>
      <c r="G3089" s="13">
        <v>17373.09</v>
      </c>
      <c r="I3089" t="s">
        <v>179</v>
      </c>
      <c r="J3089" t="s">
        <v>931</v>
      </c>
      <c r="K3089" t="s">
        <v>180</v>
      </c>
      <c r="L3089">
        <v>200062610</v>
      </c>
    </row>
    <row r="3090" spans="3:12">
      <c r="C3090">
        <v>2100300025</v>
      </c>
      <c r="D3090">
        <v>6426000</v>
      </c>
      <c r="E3090" t="s">
        <v>188</v>
      </c>
      <c r="F3090">
        <v>5210010105</v>
      </c>
      <c r="G3090" s="13">
        <v>79700</v>
      </c>
      <c r="I3090" t="s">
        <v>179</v>
      </c>
      <c r="J3090" t="s">
        <v>932</v>
      </c>
      <c r="K3090" t="s">
        <v>180</v>
      </c>
      <c r="L3090">
        <v>200059196</v>
      </c>
    </row>
    <row r="3091" spans="3:12">
      <c r="C3091">
        <v>2100300025</v>
      </c>
      <c r="D3091">
        <v>6426000</v>
      </c>
      <c r="E3091" t="s">
        <v>188</v>
      </c>
      <c r="F3091">
        <v>5210010105</v>
      </c>
      <c r="G3091" s="13">
        <v>18300</v>
      </c>
      <c r="I3091" t="s">
        <v>179</v>
      </c>
      <c r="J3091" t="s">
        <v>932</v>
      </c>
      <c r="K3091" t="s">
        <v>180</v>
      </c>
      <c r="L3091">
        <v>200059530</v>
      </c>
    </row>
    <row r="3092" spans="3:12">
      <c r="C3092">
        <v>2100300025</v>
      </c>
      <c r="D3092">
        <v>6426000</v>
      </c>
      <c r="E3092" t="s">
        <v>188</v>
      </c>
      <c r="F3092">
        <v>5210010105</v>
      </c>
      <c r="G3092" s="13">
        <v>1550</v>
      </c>
      <c r="I3092" t="s">
        <v>179</v>
      </c>
      <c r="J3092" t="s">
        <v>932</v>
      </c>
      <c r="K3092" t="s">
        <v>180</v>
      </c>
      <c r="L3092">
        <v>200057598</v>
      </c>
    </row>
    <row r="3093" spans="3:12">
      <c r="C3093">
        <v>2100300025</v>
      </c>
      <c r="D3093">
        <v>6426000</v>
      </c>
      <c r="E3093" t="s">
        <v>188</v>
      </c>
      <c r="F3093">
        <v>5210010105</v>
      </c>
      <c r="G3093" s="13">
        <v>2605</v>
      </c>
      <c r="I3093" t="s">
        <v>179</v>
      </c>
      <c r="J3093" t="s">
        <v>932</v>
      </c>
      <c r="K3093" t="s">
        <v>180</v>
      </c>
      <c r="L3093">
        <v>200057599</v>
      </c>
    </row>
    <row r="3094" spans="3:12">
      <c r="C3094">
        <v>2100300025</v>
      </c>
      <c r="D3094">
        <v>6426000</v>
      </c>
      <c r="E3094" t="s">
        <v>188</v>
      </c>
      <c r="F3094">
        <v>5210010105</v>
      </c>
      <c r="G3094" s="13">
        <v>3927.5</v>
      </c>
      <c r="I3094" t="s">
        <v>179</v>
      </c>
      <c r="J3094" t="s">
        <v>932</v>
      </c>
      <c r="K3094" t="s">
        <v>180</v>
      </c>
      <c r="L3094">
        <v>200059543</v>
      </c>
    </row>
    <row r="3095" spans="3:12">
      <c r="C3095">
        <v>2100300025</v>
      </c>
      <c r="D3095">
        <v>6426000</v>
      </c>
      <c r="E3095" t="s">
        <v>188</v>
      </c>
      <c r="F3095">
        <v>5210010105</v>
      </c>
      <c r="G3095" s="13">
        <v>20850</v>
      </c>
      <c r="I3095" t="s">
        <v>179</v>
      </c>
      <c r="J3095" t="s">
        <v>932</v>
      </c>
      <c r="K3095" t="s">
        <v>180</v>
      </c>
      <c r="L3095">
        <v>200057600</v>
      </c>
    </row>
    <row r="3096" spans="3:12">
      <c r="C3096">
        <v>2100300025</v>
      </c>
      <c r="D3096">
        <v>6426000</v>
      </c>
      <c r="E3096" t="s">
        <v>188</v>
      </c>
      <c r="F3096">
        <v>5210010105</v>
      </c>
      <c r="G3096" s="13">
        <v>17600</v>
      </c>
      <c r="I3096" t="s">
        <v>179</v>
      </c>
      <c r="J3096" t="s">
        <v>932</v>
      </c>
      <c r="K3096" t="s">
        <v>180</v>
      </c>
      <c r="L3096">
        <v>200060001</v>
      </c>
    </row>
    <row r="3097" spans="3:12">
      <c r="C3097">
        <v>2100300025</v>
      </c>
      <c r="D3097">
        <v>6426000</v>
      </c>
      <c r="E3097" t="s">
        <v>188</v>
      </c>
      <c r="F3097">
        <v>5210010105</v>
      </c>
      <c r="G3097" s="13">
        <v>98868</v>
      </c>
      <c r="I3097" t="s">
        <v>179</v>
      </c>
      <c r="J3097" t="s">
        <v>932</v>
      </c>
      <c r="K3097" t="s">
        <v>180</v>
      </c>
      <c r="L3097">
        <v>200060002</v>
      </c>
    </row>
    <row r="3098" spans="3:12">
      <c r="C3098">
        <v>2100300025</v>
      </c>
      <c r="D3098">
        <v>6426000</v>
      </c>
      <c r="E3098" t="s">
        <v>188</v>
      </c>
      <c r="F3098">
        <v>5210010105</v>
      </c>
      <c r="G3098" s="13">
        <v>99290</v>
      </c>
      <c r="I3098" t="s">
        <v>179</v>
      </c>
      <c r="J3098" t="s">
        <v>933</v>
      </c>
      <c r="K3098" t="s">
        <v>180</v>
      </c>
      <c r="L3098">
        <v>200001551</v>
      </c>
    </row>
    <row r="3099" spans="3:12">
      <c r="C3099">
        <v>2100300025</v>
      </c>
      <c r="D3099">
        <v>6426000</v>
      </c>
      <c r="E3099" t="s">
        <v>188</v>
      </c>
      <c r="F3099">
        <v>5210010105</v>
      </c>
      <c r="G3099" s="13">
        <v>68000</v>
      </c>
      <c r="I3099" t="s">
        <v>179</v>
      </c>
      <c r="J3099" t="s">
        <v>933</v>
      </c>
      <c r="K3099" t="s">
        <v>180</v>
      </c>
      <c r="L3099">
        <v>200060872</v>
      </c>
    </row>
    <row r="3100" spans="3:12">
      <c r="C3100">
        <v>2100300025</v>
      </c>
      <c r="D3100">
        <v>6426000</v>
      </c>
      <c r="E3100" t="s">
        <v>188</v>
      </c>
      <c r="F3100">
        <v>5210010105</v>
      </c>
      <c r="G3100" s="13">
        <v>3175</v>
      </c>
      <c r="I3100" t="s">
        <v>179</v>
      </c>
      <c r="J3100" t="s">
        <v>934</v>
      </c>
      <c r="K3100" t="s">
        <v>180</v>
      </c>
      <c r="L3100">
        <v>200064038</v>
      </c>
    </row>
    <row r="3101" spans="3:12">
      <c r="C3101">
        <v>2100300025</v>
      </c>
      <c r="D3101">
        <v>6426000</v>
      </c>
      <c r="E3101" t="s">
        <v>188</v>
      </c>
      <c r="F3101">
        <v>5210010105</v>
      </c>
      <c r="G3101" s="13">
        <v>7500</v>
      </c>
      <c r="I3101" t="s">
        <v>179</v>
      </c>
      <c r="J3101" t="s">
        <v>934</v>
      </c>
      <c r="K3101" t="s">
        <v>180</v>
      </c>
      <c r="L3101">
        <v>200064961</v>
      </c>
    </row>
    <row r="3102" spans="3:12">
      <c r="C3102">
        <v>2100300025</v>
      </c>
      <c r="D3102">
        <v>6426000</v>
      </c>
      <c r="E3102" t="s">
        <v>188</v>
      </c>
      <c r="F3102">
        <v>5210010105</v>
      </c>
      <c r="G3102" s="13">
        <v>10260</v>
      </c>
      <c r="I3102" t="s">
        <v>179</v>
      </c>
      <c r="J3102" t="s">
        <v>934</v>
      </c>
      <c r="K3102" t="s">
        <v>180</v>
      </c>
      <c r="L3102">
        <v>200064962</v>
      </c>
    </row>
    <row r="3103" spans="3:12">
      <c r="C3103">
        <v>2100300025</v>
      </c>
      <c r="D3103">
        <v>6426000</v>
      </c>
      <c r="E3103" t="s">
        <v>188</v>
      </c>
      <c r="F3103">
        <v>5210010105</v>
      </c>
      <c r="G3103">
        <v>855</v>
      </c>
      <c r="I3103" t="s">
        <v>179</v>
      </c>
      <c r="J3103" t="s">
        <v>934</v>
      </c>
      <c r="K3103" t="s">
        <v>180</v>
      </c>
      <c r="L3103">
        <v>200064963</v>
      </c>
    </row>
    <row r="3104" spans="3:12">
      <c r="C3104">
        <v>2100300025</v>
      </c>
      <c r="D3104">
        <v>6426000</v>
      </c>
      <c r="E3104" t="s">
        <v>188</v>
      </c>
      <c r="F3104">
        <v>5210010105</v>
      </c>
      <c r="G3104" s="13">
        <v>1218000</v>
      </c>
      <c r="I3104" t="s">
        <v>179</v>
      </c>
      <c r="J3104" t="s">
        <v>933</v>
      </c>
      <c r="K3104" t="s">
        <v>180</v>
      </c>
      <c r="L3104">
        <v>200061836</v>
      </c>
    </row>
    <row r="3105" spans="3:12">
      <c r="C3105">
        <v>2100300025</v>
      </c>
      <c r="D3105">
        <v>6426000</v>
      </c>
      <c r="E3105" t="s">
        <v>188</v>
      </c>
      <c r="F3105">
        <v>5210010105</v>
      </c>
      <c r="G3105" s="13">
        <v>55500</v>
      </c>
      <c r="I3105" t="s">
        <v>179</v>
      </c>
      <c r="J3105" t="s">
        <v>933</v>
      </c>
      <c r="K3105" t="s">
        <v>180</v>
      </c>
      <c r="L3105">
        <v>200061841</v>
      </c>
    </row>
    <row r="3106" spans="3:12">
      <c r="C3106">
        <v>2100300025</v>
      </c>
      <c r="D3106">
        <v>6426000</v>
      </c>
      <c r="E3106" t="s">
        <v>188</v>
      </c>
      <c r="F3106">
        <v>5210010105</v>
      </c>
      <c r="G3106" s="13">
        <v>1200</v>
      </c>
      <c r="I3106" t="s">
        <v>179</v>
      </c>
      <c r="J3106" t="s">
        <v>933</v>
      </c>
      <c r="K3106" t="s">
        <v>180</v>
      </c>
      <c r="L3106">
        <v>200061842</v>
      </c>
    </row>
    <row r="3107" spans="3:12">
      <c r="C3107">
        <v>2100300025</v>
      </c>
      <c r="D3107">
        <v>6426000</v>
      </c>
      <c r="E3107" t="s">
        <v>188</v>
      </c>
      <c r="F3107">
        <v>5210010105</v>
      </c>
      <c r="G3107" s="13">
        <v>3000</v>
      </c>
      <c r="I3107" t="s">
        <v>179</v>
      </c>
      <c r="J3107" t="s">
        <v>933</v>
      </c>
      <c r="K3107" t="s">
        <v>180</v>
      </c>
      <c r="L3107">
        <v>200061843</v>
      </c>
    </row>
    <row r="3108" spans="3:12">
      <c r="C3108">
        <v>2100300025</v>
      </c>
      <c r="D3108">
        <v>6426000</v>
      </c>
      <c r="E3108" t="s">
        <v>188</v>
      </c>
      <c r="F3108">
        <v>5210010105</v>
      </c>
      <c r="G3108" s="13">
        <v>484265.03</v>
      </c>
      <c r="I3108" t="s">
        <v>179</v>
      </c>
      <c r="J3108" t="s">
        <v>933</v>
      </c>
      <c r="K3108" t="s">
        <v>180</v>
      </c>
      <c r="L3108">
        <v>200061844</v>
      </c>
    </row>
    <row r="3109" spans="3:12">
      <c r="C3109">
        <v>2100300025</v>
      </c>
      <c r="D3109">
        <v>6426000</v>
      </c>
      <c r="E3109" t="s">
        <v>188</v>
      </c>
      <c r="F3109">
        <v>5210010105</v>
      </c>
      <c r="G3109" s="13">
        <v>61728.2</v>
      </c>
      <c r="I3109" t="s">
        <v>179</v>
      </c>
      <c r="J3109" t="s">
        <v>935</v>
      </c>
      <c r="K3109" t="s">
        <v>180</v>
      </c>
      <c r="L3109">
        <v>200063883</v>
      </c>
    </row>
    <row r="3110" spans="3:12">
      <c r="C3110">
        <v>2100300025</v>
      </c>
      <c r="D3110">
        <v>6426000</v>
      </c>
      <c r="E3110" t="s">
        <v>188</v>
      </c>
      <c r="F3110">
        <v>5210010105</v>
      </c>
      <c r="G3110" s="13">
        <v>425000</v>
      </c>
      <c r="I3110" t="s">
        <v>179</v>
      </c>
      <c r="J3110" t="s">
        <v>935</v>
      </c>
      <c r="K3110" t="s">
        <v>180</v>
      </c>
      <c r="L3110">
        <v>200064922</v>
      </c>
    </row>
    <row r="3111" spans="3:12">
      <c r="C3111">
        <v>2100300025</v>
      </c>
      <c r="D3111">
        <v>6426000</v>
      </c>
      <c r="E3111" t="s">
        <v>188</v>
      </c>
      <c r="F3111">
        <v>5210010105</v>
      </c>
      <c r="G3111" s="13">
        <v>32500</v>
      </c>
      <c r="I3111" t="s">
        <v>179</v>
      </c>
      <c r="J3111" t="s">
        <v>935</v>
      </c>
      <c r="K3111" t="s">
        <v>180</v>
      </c>
      <c r="L3111">
        <v>200064923</v>
      </c>
    </row>
    <row r="3112" spans="3:12">
      <c r="C3112">
        <v>2100300025</v>
      </c>
      <c r="D3112">
        <v>6426000</v>
      </c>
      <c r="E3112" t="s">
        <v>188</v>
      </c>
      <c r="F3112">
        <v>5210010105</v>
      </c>
      <c r="G3112" s="13">
        <v>242788</v>
      </c>
      <c r="I3112" t="s">
        <v>179</v>
      </c>
      <c r="J3112" t="s">
        <v>935</v>
      </c>
      <c r="K3112" t="s">
        <v>180</v>
      </c>
      <c r="L3112">
        <v>200053399</v>
      </c>
    </row>
    <row r="3113" spans="3:12">
      <c r="C3113">
        <v>2100300025</v>
      </c>
      <c r="D3113">
        <v>6426000</v>
      </c>
      <c r="E3113" t="s">
        <v>188</v>
      </c>
      <c r="F3113">
        <v>5210010105</v>
      </c>
      <c r="G3113" s="13">
        <v>358340</v>
      </c>
      <c r="I3113" t="s">
        <v>179</v>
      </c>
      <c r="J3113" t="s">
        <v>935</v>
      </c>
      <c r="K3113" t="s">
        <v>180</v>
      </c>
      <c r="L3113">
        <v>200064927</v>
      </c>
    </row>
    <row r="3114" spans="3:12">
      <c r="C3114">
        <v>2100300025</v>
      </c>
      <c r="D3114">
        <v>6426000</v>
      </c>
      <c r="E3114" t="s">
        <v>188</v>
      </c>
      <c r="F3114">
        <v>5210010105</v>
      </c>
      <c r="G3114" s="13">
        <v>425000</v>
      </c>
      <c r="I3114" t="s">
        <v>179</v>
      </c>
      <c r="J3114" t="s">
        <v>935</v>
      </c>
      <c r="K3114" t="s">
        <v>180</v>
      </c>
      <c r="L3114">
        <v>200064148</v>
      </c>
    </row>
    <row r="3115" spans="3:12">
      <c r="C3115">
        <v>2100300025</v>
      </c>
      <c r="D3115">
        <v>6426000</v>
      </c>
      <c r="E3115" t="s">
        <v>188</v>
      </c>
      <c r="F3115">
        <v>5210010105</v>
      </c>
      <c r="G3115" s="13">
        <v>133250</v>
      </c>
      <c r="I3115" t="s">
        <v>179</v>
      </c>
      <c r="J3115" t="s">
        <v>935</v>
      </c>
      <c r="K3115" t="s">
        <v>180</v>
      </c>
      <c r="L3115">
        <v>200064902</v>
      </c>
    </row>
    <row r="3116" spans="3:12">
      <c r="C3116">
        <v>2100300025</v>
      </c>
      <c r="D3116">
        <v>6426000</v>
      </c>
      <c r="E3116" t="s">
        <v>188</v>
      </c>
      <c r="F3116">
        <v>5210010105</v>
      </c>
      <c r="G3116" s="13">
        <v>1330</v>
      </c>
      <c r="I3116" t="s">
        <v>179</v>
      </c>
      <c r="J3116" t="s">
        <v>935</v>
      </c>
      <c r="K3116" t="s">
        <v>180</v>
      </c>
      <c r="L3116">
        <v>200063873</v>
      </c>
    </row>
    <row r="3117" spans="3:12">
      <c r="C3117">
        <v>2100300025</v>
      </c>
      <c r="D3117">
        <v>6426000</v>
      </c>
      <c r="E3117" t="s">
        <v>188</v>
      </c>
      <c r="F3117">
        <v>5210010105</v>
      </c>
      <c r="G3117" s="13">
        <v>2200</v>
      </c>
      <c r="I3117" t="s">
        <v>179</v>
      </c>
      <c r="J3117" t="s">
        <v>935</v>
      </c>
      <c r="K3117" t="s">
        <v>180</v>
      </c>
      <c r="L3117">
        <v>200064903</v>
      </c>
    </row>
    <row r="3118" spans="3:12">
      <c r="C3118">
        <v>2100300025</v>
      </c>
      <c r="D3118">
        <v>6426000</v>
      </c>
      <c r="E3118" t="s">
        <v>188</v>
      </c>
      <c r="F3118">
        <v>5210010105</v>
      </c>
      <c r="G3118" s="13">
        <v>2295.1999999999998</v>
      </c>
      <c r="I3118" t="s">
        <v>179</v>
      </c>
      <c r="J3118" t="s">
        <v>935</v>
      </c>
      <c r="K3118" t="s">
        <v>180</v>
      </c>
      <c r="L3118">
        <v>200064905</v>
      </c>
    </row>
    <row r="3119" spans="3:12">
      <c r="C3119">
        <v>2100300025</v>
      </c>
      <c r="D3119">
        <v>6426000</v>
      </c>
      <c r="E3119" t="s">
        <v>188</v>
      </c>
      <c r="F3119">
        <v>5210010105</v>
      </c>
      <c r="G3119" s="13">
        <v>7000</v>
      </c>
      <c r="I3119" t="s">
        <v>179</v>
      </c>
      <c r="J3119" t="s">
        <v>935</v>
      </c>
      <c r="K3119" t="s">
        <v>180</v>
      </c>
      <c r="L3119">
        <v>200064666</v>
      </c>
    </row>
    <row r="3120" spans="3:12">
      <c r="C3120">
        <v>2100300025</v>
      </c>
      <c r="D3120">
        <v>6426000</v>
      </c>
      <c r="E3120" t="s">
        <v>188</v>
      </c>
      <c r="F3120">
        <v>5210010105</v>
      </c>
      <c r="G3120" s="13">
        <v>4875</v>
      </c>
      <c r="I3120" t="s">
        <v>179</v>
      </c>
      <c r="J3120" t="s">
        <v>935</v>
      </c>
      <c r="K3120" t="s">
        <v>180</v>
      </c>
      <c r="L3120">
        <v>200064667</v>
      </c>
    </row>
    <row r="3121" spans="3:12">
      <c r="C3121">
        <v>2100300025</v>
      </c>
      <c r="D3121">
        <v>6426000</v>
      </c>
      <c r="E3121" t="s">
        <v>188</v>
      </c>
      <c r="F3121">
        <v>5210010105</v>
      </c>
      <c r="G3121" s="13">
        <v>332110</v>
      </c>
      <c r="I3121" t="s">
        <v>179</v>
      </c>
      <c r="J3121" t="s">
        <v>836</v>
      </c>
      <c r="K3121" t="s">
        <v>180</v>
      </c>
      <c r="L3121">
        <v>200060927</v>
      </c>
    </row>
    <row r="3122" spans="3:12">
      <c r="C3122">
        <v>2100300025</v>
      </c>
      <c r="D3122">
        <v>6426000</v>
      </c>
      <c r="E3122" t="s">
        <v>188</v>
      </c>
      <c r="F3122">
        <v>5210010105</v>
      </c>
      <c r="G3122" s="13">
        <v>181000</v>
      </c>
      <c r="I3122" t="s">
        <v>179</v>
      </c>
      <c r="J3122" t="s">
        <v>836</v>
      </c>
      <c r="K3122" t="s">
        <v>180</v>
      </c>
      <c r="L3122">
        <v>200061322</v>
      </c>
    </row>
    <row r="3123" spans="3:12">
      <c r="C3123">
        <v>2100300025</v>
      </c>
      <c r="D3123">
        <v>6426000</v>
      </c>
      <c r="E3123" t="s">
        <v>188</v>
      </c>
      <c r="F3123">
        <v>5210010105</v>
      </c>
      <c r="G3123" s="13">
        <v>61600</v>
      </c>
      <c r="I3123" t="s">
        <v>179</v>
      </c>
      <c r="J3123" t="s">
        <v>836</v>
      </c>
      <c r="K3123" t="s">
        <v>180</v>
      </c>
      <c r="L3123">
        <v>200061323</v>
      </c>
    </row>
    <row r="3124" spans="3:12">
      <c r="C3124">
        <v>2100300025</v>
      </c>
      <c r="D3124">
        <v>6426000</v>
      </c>
      <c r="E3124" t="s">
        <v>188</v>
      </c>
      <c r="F3124">
        <v>5210010105</v>
      </c>
      <c r="G3124">
        <v>450</v>
      </c>
      <c r="I3124" t="s">
        <v>179</v>
      </c>
      <c r="J3124" t="s">
        <v>836</v>
      </c>
      <c r="K3124" t="s">
        <v>180</v>
      </c>
      <c r="L3124">
        <v>200061324</v>
      </c>
    </row>
    <row r="3125" spans="3:12">
      <c r="C3125">
        <v>2100300025</v>
      </c>
      <c r="D3125">
        <v>6426000</v>
      </c>
      <c r="E3125" t="s">
        <v>188</v>
      </c>
      <c r="F3125">
        <v>5210010105</v>
      </c>
      <c r="G3125" s="13">
        <v>28000</v>
      </c>
      <c r="I3125" t="s">
        <v>179</v>
      </c>
      <c r="J3125" t="s">
        <v>836</v>
      </c>
      <c r="K3125" t="s">
        <v>180</v>
      </c>
      <c r="L3125">
        <v>200060942</v>
      </c>
    </row>
    <row r="3126" spans="3:12">
      <c r="C3126">
        <v>2100300025</v>
      </c>
      <c r="D3126">
        <v>6426000</v>
      </c>
      <c r="E3126" t="s">
        <v>188</v>
      </c>
      <c r="F3126">
        <v>5210010105</v>
      </c>
      <c r="G3126" s="13">
        <v>35000</v>
      </c>
      <c r="I3126" t="s">
        <v>179</v>
      </c>
      <c r="J3126" t="s">
        <v>836</v>
      </c>
      <c r="K3126" t="s">
        <v>180</v>
      </c>
      <c r="L3126">
        <v>200060943</v>
      </c>
    </row>
    <row r="3127" spans="3:12">
      <c r="C3127">
        <v>2100300025</v>
      </c>
      <c r="D3127">
        <v>6426000</v>
      </c>
      <c r="E3127" t="s">
        <v>188</v>
      </c>
      <c r="F3127">
        <v>5210010105</v>
      </c>
      <c r="G3127" s="13">
        <v>24500</v>
      </c>
      <c r="I3127" t="s">
        <v>179</v>
      </c>
      <c r="J3127" t="s">
        <v>836</v>
      </c>
      <c r="K3127" t="s">
        <v>180</v>
      </c>
      <c r="L3127">
        <v>200061326</v>
      </c>
    </row>
    <row r="3128" spans="3:12">
      <c r="C3128">
        <v>2100300025</v>
      </c>
      <c r="D3128">
        <v>6426000</v>
      </c>
      <c r="E3128" t="s">
        <v>188</v>
      </c>
      <c r="F3128">
        <v>5210010105</v>
      </c>
      <c r="G3128" s="13">
        <v>2850</v>
      </c>
      <c r="I3128" t="s">
        <v>179</v>
      </c>
      <c r="J3128" t="s">
        <v>836</v>
      </c>
      <c r="K3128" t="s">
        <v>180</v>
      </c>
      <c r="L3128">
        <v>200061418</v>
      </c>
    </row>
    <row r="3129" spans="3:12">
      <c r="C3129">
        <v>2100300025</v>
      </c>
      <c r="D3129">
        <v>6426000</v>
      </c>
      <c r="E3129" t="s">
        <v>188</v>
      </c>
      <c r="F3129">
        <v>5210010105</v>
      </c>
      <c r="G3129" s="13">
        <v>3400</v>
      </c>
      <c r="I3129" t="s">
        <v>179</v>
      </c>
      <c r="J3129" t="s">
        <v>836</v>
      </c>
      <c r="K3129" t="s">
        <v>180</v>
      </c>
      <c r="L3129">
        <v>200061420</v>
      </c>
    </row>
    <row r="3130" spans="3:12">
      <c r="C3130">
        <v>2100300025</v>
      </c>
      <c r="D3130">
        <v>6426000</v>
      </c>
      <c r="E3130" t="s">
        <v>188</v>
      </c>
      <c r="F3130">
        <v>5210010105</v>
      </c>
      <c r="G3130" s="13">
        <v>5000</v>
      </c>
      <c r="I3130" t="s">
        <v>179</v>
      </c>
      <c r="J3130" t="s">
        <v>836</v>
      </c>
      <c r="K3130" t="s">
        <v>180</v>
      </c>
      <c r="L3130">
        <v>200061423</v>
      </c>
    </row>
    <row r="3131" spans="3:12">
      <c r="C3131">
        <v>2100300025</v>
      </c>
      <c r="D3131">
        <v>6426000</v>
      </c>
      <c r="E3131" t="s">
        <v>188</v>
      </c>
      <c r="F3131">
        <v>5210010105</v>
      </c>
      <c r="G3131" s="13">
        <v>680982.49</v>
      </c>
      <c r="I3131" t="s">
        <v>179</v>
      </c>
      <c r="J3131" t="s">
        <v>836</v>
      </c>
      <c r="K3131" t="s">
        <v>180</v>
      </c>
      <c r="L3131">
        <v>200061328</v>
      </c>
    </row>
    <row r="3132" spans="3:12">
      <c r="C3132">
        <v>2100300025</v>
      </c>
      <c r="D3132">
        <v>6426000</v>
      </c>
      <c r="E3132" t="s">
        <v>188</v>
      </c>
      <c r="F3132">
        <v>5210010105</v>
      </c>
      <c r="G3132" s="13">
        <v>1200</v>
      </c>
      <c r="I3132" t="s">
        <v>179</v>
      </c>
      <c r="J3132" t="s">
        <v>936</v>
      </c>
      <c r="K3132" t="s">
        <v>180</v>
      </c>
      <c r="L3132">
        <v>200064607</v>
      </c>
    </row>
    <row r="3133" spans="3:12">
      <c r="C3133">
        <v>2100300025</v>
      </c>
      <c r="D3133">
        <v>6426000</v>
      </c>
      <c r="E3133" t="s">
        <v>188</v>
      </c>
      <c r="F3133">
        <v>5210010105</v>
      </c>
      <c r="G3133">
        <v>800</v>
      </c>
      <c r="I3133" t="s">
        <v>179</v>
      </c>
      <c r="J3133" t="s">
        <v>936</v>
      </c>
      <c r="K3133" t="s">
        <v>180</v>
      </c>
      <c r="L3133">
        <v>200064608</v>
      </c>
    </row>
    <row r="3134" spans="3:12">
      <c r="C3134">
        <v>2100300025</v>
      </c>
      <c r="D3134">
        <v>6426000</v>
      </c>
      <c r="E3134" t="s">
        <v>188</v>
      </c>
      <c r="F3134">
        <v>5210010105</v>
      </c>
      <c r="G3134">
        <v>300</v>
      </c>
      <c r="I3134" t="s">
        <v>179</v>
      </c>
      <c r="J3134" t="s">
        <v>837</v>
      </c>
      <c r="K3134" t="s">
        <v>180</v>
      </c>
      <c r="L3134">
        <v>200053358</v>
      </c>
    </row>
    <row r="3135" spans="3:12">
      <c r="C3135">
        <v>2100300025</v>
      </c>
      <c r="D3135">
        <v>6426000</v>
      </c>
      <c r="E3135" t="s">
        <v>188</v>
      </c>
      <c r="F3135">
        <v>5210010105</v>
      </c>
      <c r="G3135" s="13">
        <v>88582.5</v>
      </c>
      <c r="I3135" t="s">
        <v>179</v>
      </c>
      <c r="J3135" t="s">
        <v>837</v>
      </c>
      <c r="K3135" t="s">
        <v>180</v>
      </c>
      <c r="L3135">
        <v>200053359</v>
      </c>
    </row>
    <row r="3136" spans="3:12">
      <c r="C3136">
        <v>2100300025</v>
      </c>
      <c r="D3136">
        <v>6426000</v>
      </c>
      <c r="E3136" t="s">
        <v>188</v>
      </c>
      <c r="F3136">
        <v>5210010105</v>
      </c>
      <c r="G3136" s="13">
        <v>1680</v>
      </c>
      <c r="I3136" t="s">
        <v>179</v>
      </c>
      <c r="J3136" t="s">
        <v>837</v>
      </c>
      <c r="K3136" t="s">
        <v>180</v>
      </c>
      <c r="L3136">
        <v>200058777</v>
      </c>
    </row>
    <row r="3137" spans="3:12">
      <c r="C3137">
        <v>2100300025</v>
      </c>
      <c r="D3137">
        <v>6426000</v>
      </c>
      <c r="E3137" t="s">
        <v>188</v>
      </c>
      <c r="F3137">
        <v>5210010105</v>
      </c>
      <c r="G3137" s="13">
        <v>2675</v>
      </c>
      <c r="I3137" t="s">
        <v>179</v>
      </c>
      <c r="J3137" t="s">
        <v>837</v>
      </c>
      <c r="K3137" t="s">
        <v>180</v>
      </c>
      <c r="L3137">
        <v>200058778</v>
      </c>
    </row>
    <row r="3138" spans="3:12">
      <c r="C3138">
        <v>2100300025</v>
      </c>
      <c r="D3138">
        <v>6426000</v>
      </c>
      <c r="E3138" t="s">
        <v>188</v>
      </c>
      <c r="F3138">
        <v>5210010105</v>
      </c>
      <c r="G3138" s="13">
        <v>2800</v>
      </c>
      <c r="I3138" t="s">
        <v>179</v>
      </c>
      <c r="J3138" t="s">
        <v>837</v>
      </c>
      <c r="K3138" t="s">
        <v>180</v>
      </c>
      <c r="L3138">
        <v>200058779</v>
      </c>
    </row>
    <row r="3139" spans="3:12">
      <c r="C3139">
        <v>2100300025</v>
      </c>
      <c r="D3139">
        <v>6426000</v>
      </c>
      <c r="E3139" t="s">
        <v>188</v>
      </c>
      <c r="F3139">
        <v>5210010105</v>
      </c>
      <c r="G3139" s="13">
        <v>3293</v>
      </c>
      <c r="I3139" t="s">
        <v>179</v>
      </c>
      <c r="J3139" t="s">
        <v>837</v>
      </c>
      <c r="K3139" t="s">
        <v>180</v>
      </c>
      <c r="L3139">
        <v>200057556</v>
      </c>
    </row>
    <row r="3140" spans="3:12">
      <c r="C3140">
        <v>2100300025</v>
      </c>
      <c r="D3140">
        <v>6426000</v>
      </c>
      <c r="E3140" t="s">
        <v>188</v>
      </c>
      <c r="F3140">
        <v>5210010105</v>
      </c>
      <c r="G3140" s="13">
        <v>2060</v>
      </c>
      <c r="I3140" t="s">
        <v>179</v>
      </c>
      <c r="J3140" t="s">
        <v>837</v>
      </c>
      <c r="K3140" t="s">
        <v>180</v>
      </c>
      <c r="L3140">
        <v>200058780</v>
      </c>
    </row>
    <row r="3141" spans="3:12">
      <c r="C3141">
        <v>2100300025</v>
      </c>
      <c r="D3141">
        <v>6426000</v>
      </c>
      <c r="E3141" t="s">
        <v>188</v>
      </c>
      <c r="F3141">
        <v>5210010105</v>
      </c>
      <c r="G3141" s="13">
        <v>1460</v>
      </c>
      <c r="I3141" t="s">
        <v>179</v>
      </c>
      <c r="J3141" t="s">
        <v>837</v>
      </c>
      <c r="K3141" t="s">
        <v>180</v>
      </c>
      <c r="L3141">
        <v>200058781</v>
      </c>
    </row>
    <row r="3142" spans="3:12">
      <c r="C3142">
        <v>2100300025</v>
      </c>
      <c r="D3142">
        <v>6426000</v>
      </c>
      <c r="E3142" t="s">
        <v>188</v>
      </c>
      <c r="F3142">
        <v>5210010105</v>
      </c>
      <c r="G3142" s="13">
        <v>4615</v>
      </c>
      <c r="I3142" t="s">
        <v>179</v>
      </c>
      <c r="J3142" t="s">
        <v>837</v>
      </c>
      <c r="K3142" t="s">
        <v>180</v>
      </c>
      <c r="L3142">
        <v>200059134</v>
      </c>
    </row>
    <row r="3143" spans="3:12">
      <c r="C3143">
        <v>2100300025</v>
      </c>
      <c r="D3143">
        <v>6426000</v>
      </c>
      <c r="E3143" t="s">
        <v>188</v>
      </c>
      <c r="F3143">
        <v>5210010105</v>
      </c>
      <c r="G3143" s="13">
        <v>3000</v>
      </c>
      <c r="I3143" t="s">
        <v>179</v>
      </c>
      <c r="J3143" t="s">
        <v>837</v>
      </c>
      <c r="K3143" t="s">
        <v>180</v>
      </c>
      <c r="L3143">
        <v>200058782</v>
      </c>
    </row>
    <row r="3144" spans="3:12">
      <c r="C3144">
        <v>2100300025</v>
      </c>
      <c r="D3144">
        <v>6426000</v>
      </c>
      <c r="E3144" t="s">
        <v>188</v>
      </c>
      <c r="F3144">
        <v>5210010105</v>
      </c>
      <c r="G3144" s="13">
        <v>3210</v>
      </c>
      <c r="I3144" t="s">
        <v>179</v>
      </c>
      <c r="J3144" t="s">
        <v>837</v>
      </c>
      <c r="K3144" t="s">
        <v>180</v>
      </c>
      <c r="L3144">
        <v>200059136</v>
      </c>
    </row>
    <row r="3145" spans="3:12">
      <c r="C3145">
        <v>2100300025</v>
      </c>
      <c r="D3145">
        <v>6426000</v>
      </c>
      <c r="E3145" t="s">
        <v>188</v>
      </c>
      <c r="F3145">
        <v>5210010105</v>
      </c>
      <c r="G3145" s="13">
        <v>3762</v>
      </c>
      <c r="I3145" t="s">
        <v>179</v>
      </c>
      <c r="J3145" t="s">
        <v>837</v>
      </c>
      <c r="K3145" t="s">
        <v>180</v>
      </c>
      <c r="L3145">
        <v>200058784</v>
      </c>
    </row>
    <row r="3146" spans="3:12">
      <c r="C3146">
        <v>2100300025</v>
      </c>
      <c r="D3146">
        <v>6426000</v>
      </c>
      <c r="E3146" t="s">
        <v>188</v>
      </c>
      <c r="F3146">
        <v>5210010105</v>
      </c>
      <c r="G3146" s="13">
        <v>3800</v>
      </c>
      <c r="I3146" t="s">
        <v>179</v>
      </c>
      <c r="J3146" t="s">
        <v>837</v>
      </c>
      <c r="K3146" t="s">
        <v>180</v>
      </c>
      <c r="L3146">
        <v>200058785</v>
      </c>
    </row>
    <row r="3147" spans="3:12">
      <c r="C3147">
        <v>2100300025</v>
      </c>
      <c r="D3147">
        <v>6426000</v>
      </c>
      <c r="E3147" t="s">
        <v>188</v>
      </c>
      <c r="F3147">
        <v>5210010105</v>
      </c>
      <c r="G3147">
        <v>900</v>
      </c>
      <c r="I3147" t="s">
        <v>179</v>
      </c>
      <c r="J3147" t="s">
        <v>837</v>
      </c>
      <c r="K3147" t="s">
        <v>180</v>
      </c>
      <c r="L3147">
        <v>200058786</v>
      </c>
    </row>
    <row r="3148" spans="3:12">
      <c r="C3148">
        <v>2100300025</v>
      </c>
      <c r="D3148">
        <v>6426000</v>
      </c>
      <c r="E3148" t="s">
        <v>188</v>
      </c>
      <c r="F3148">
        <v>5210010105</v>
      </c>
      <c r="G3148">
        <v>225</v>
      </c>
      <c r="I3148" t="s">
        <v>179</v>
      </c>
      <c r="J3148" t="s">
        <v>837</v>
      </c>
      <c r="K3148" t="s">
        <v>180</v>
      </c>
      <c r="L3148">
        <v>200058788</v>
      </c>
    </row>
    <row r="3149" spans="3:12">
      <c r="C3149">
        <v>2100300025</v>
      </c>
      <c r="D3149">
        <v>6426000</v>
      </c>
      <c r="E3149" t="s">
        <v>188</v>
      </c>
      <c r="F3149">
        <v>5210010105</v>
      </c>
      <c r="G3149" s="13">
        <v>22708</v>
      </c>
      <c r="I3149" t="s">
        <v>179</v>
      </c>
      <c r="J3149" t="s">
        <v>936</v>
      </c>
      <c r="K3149" t="s">
        <v>180</v>
      </c>
      <c r="L3149">
        <v>200053390</v>
      </c>
    </row>
    <row r="3150" spans="3:12">
      <c r="C3150">
        <v>2100300025</v>
      </c>
      <c r="D3150">
        <v>6426000</v>
      </c>
      <c r="E3150" t="s">
        <v>188</v>
      </c>
      <c r="F3150">
        <v>5210010105</v>
      </c>
      <c r="G3150" s="13">
        <v>13927</v>
      </c>
      <c r="I3150" t="s">
        <v>179</v>
      </c>
      <c r="J3150" t="s">
        <v>936</v>
      </c>
      <c r="K3150" t="s">
        <v>180</v>
      </c>
      <c r="L3150">
        <v>200064006</v>
      </c>
    </row>
    <row r="3151" spans="3:12">
      <c r="C3151">
        <v>2100300025</v>
      </c>
      <c r="D3151">
        <v>6426000</v>
      </c>
      <c r="E3151" t="s">
        <v>188</v>
      </c>
      <c r="F3151">
        <v>5210010105</v>
      </c>
      <c r="G3151" s="13">
        <v>1500</v>
      </c>
      <c r="I3151" t="s">
        <v>179</v>
      </c>
      <c r="J3151" t="s">
        <v>936</v>
      </c>
      <c r="K3151" t="s">
        <v>180</v>
      </c>
      <c r="L3151">
        <v>200063685</v>
      </c>
    </row>
    <row r="3152" spans="3:12">
      <c r="C3152">
        <v>2100300025</v>
      </c>
      <c r="D3152">
        <v>6426000</v>
      </c>
      <c r="E3152" t="s">
        <v>188</v>
      </c>
      <c r="F3152">
        <v>5210010105</v>
      </c>
      <c r="G3152" s="13">
        <v>3500</v>
      </c>
      <c r="I3152" t="s">
        <v>179</v>
      </c>
      <c r="J3152" t="s">
        <v>936</v>
      </c>
      <c r="K3152" t="s">
        <v>180</v>
      </c>
      <c r="L3152">
        <v>200063686</v>
      </c>
    </row>
    <row r="3153" spans="3:12">
      <c r="C3153">
        <v>2100300025</v>
      </c>
      <c r="D3153">
        <v>6426000</v>
      </c>
      <c r="E3153" t="s">
        <v>188</v>
      </c>
      <c r="F3153">
        <v>5210010105</v>
      </c>
      <c r="G3153" s="13">
        <v>104432</v>
      </c>
      <c r="I3153" t="s">
        <v>179</v>
      </c>
      <c r="J3153" t="s">
        <v>936</v>
      </c>
      <c r="K3153" t="s">
        <v>180</v>
      </c>
      <c r="L3153">
        <v>200063687</v>
      </c>
    </row>
    <row r="3154" spans="3:12">
      <c r="C3154">
        <v>2100300025</v>
      </c>
      <c r="D3154">
        <v>6426000</v>
      </c>
      <c r="E3154" t="s">
        <v>188</v>
      </c>
      <c r="F3154">
        <v>5210010105</v>
      </c>
      <c r="G3154" s="13">
        <v>2053</v>
      </c>
      <c r="I3154" t="s">
        <v>179</v>
      </c>
      <c r="J3154" t="s">
        <v>837</v>
      </c>
      <c r="K3154" t="s">
        <v>180</v>
      </c>
      <c r="L3154">
        <v>200057764</v>
      </c>
    </row>
    <row r="3155" spans="3:12">
      <c r="C3155">
        <v>2100300025</v>
      </c>
      <c r="D3155">
        <v>6426000</v>
      </c>
      <c r="E3155" t="s">
        <v>188</v>
      </c>
      <c r="F3155">
        <v>5210010105</v>
      </c>
      <c r="G3155">
        <v>500</v>
      </c>
      <c r="I3155" t="s">
        <v>179</v>
      </c>
      <c r="J3155" t="s">
        <v>837</v>
      </c>
      <c r="K3155" t="s">
        <v>180</v>
      </c>
      <c r="L3155">
        <v>200057697</v>
      </c>
    </row>
    <row r="3156" spans="3:12">
      <c r="C3156">
        <v>2100300025</v>
      </c>
      <c r="D3156">
        <v>6426000</v>
      </c>
      <c r="E3156" t="s">
        <v>188</v>
      </c>
      <c r="F3156">
        <v>5210010105</v>
      </c>
      <c r="G3156" s="13">
        <v>1500</v>
      </c>
      <c r="I3156" t="s">
        <v>179</v>
      </c>
      <c r="J3156" t="s">
        <v>837</v>
      </c>
      <c r="K3156" t="s">
        <v>180</v>
      </c>
      <c r="L3156">
        <v>200057698</v>
      </c>
    </row>
    <row r="3157" spans="3:12">
      <c r="C3157">
        <v>2100300025</v>
      </c>
      <c r="D3157">
        <v>6426000</v>
      </c>
      <c r="E3157" t="s">
        <v>188</v>
      </c>
      <c r="F3157">
        <v>5210010105</v>
      </c>
      <c r="G3157" s="13">
        <v>3900</v>
      </c>
      <c r="I3157" t="s">
        <v>179</v>
      </c>
      <c r="J3157" t="s">
        <v>837</v>
      </c>
      <c r="K3157" t="s">
        <v>180</v>
      </c>
      <c r="L3157">
        <v>200057533</v>
      </c>
    </row>
    <row r="3158" spans="3:12">
      <c r="C3158">
        <v>2100300025</v>
      </c>
      <c r="D3158">
        <v>6426000</v>
      </c>
      <c r="E3158" t="s">
        <v>188</v>
      </c>
      <c r="F3158">
        <v>5210010105</v>
      </c>
      <c r="G3158" s="13">
        <v>4955</v>
      </c>
      <c r="I3158" t="s">
        <v>179</v>
      </c>
      <c r="J3158" t="s">
        <v>837</v>
      </c>
      <c r="K3158" t="s">
        <v>180</v>
      </c>
      <c r="L3158">
        <v>200057700</v>
      </c>
    </row>
    <row r="3159" spans="3:12">
      <c r="C3159">
        <v>2100300025</v>
      </c>
      <c r="D3159">
        <v>6426000</v>
      </c>
      <c r="E3159" t="s">
        <v>188</v>
      </c>
      <c r="F3159">
        <v>5210010105</v>
      </c>
      <c r="G3159">
        <v>900</v>
      </c>
      <c r="I3159" t="s">
        <v>179</v>
      </c>
      <c r="J3159" t="s">
        <v>837</v>
      </c>
      <c r="K3159" t="s">
        <v>180</v>
      </c>
      <c r="L3159">
        <v>200058702</v>
      </c>
    </row>
    <row r="3160" spans="3:12">
      <c r="C3160">
        <v>2100300025</v>
      </c>
      <c r="D3160">
        <v>6426000</v>
      </c>
      <c r="E3160" t="s">
        <v>188</v>
      </c>
      <c r="F3160">
        <v>5210010105</v>
      </c>
      <c r="G3160" s="13">
        <v>3300</v>
      </c>
      <c r="I3160" t="s">
        <v>179</v>
      </c>
      <c r="J3160" t="s">
        <v>837</v>
      </c>
      <c r="K3160" t="s">
        <v>180</v>
      </c>
      <c r="L3160">
        <v>200058707</v>
      </c>
    </row>
    <row r="3161" spans="3:12">
      <c r="C3161">
        <v>2100300025</v>
      </c>
      <c r="D3161">
        <v>6426000</v>
      </c>
      <c r="E3161" t="s">
        <v>188</v>
      </c>
      <c r="F3161">
        <v>5210010105</v>
      </c>
      <c r="G3161" s="13">
        <v>2500</v>
      </c>
      <c r="I3161" t="s">
        <v>179</v>
      </c>
      <c r="J3161" t="s">
        <v>837</v>
      </c>
      <c r="K3161" t="s">
        <v>180</v>
      </c>
      <c r="L3161">
        <v>200058709</v>
      </c>
    </row>
    <row r="3162" spans="3:12">
      <c r="C3162">
        <v>2100300025</v>
      </c>
      <c r="D3162">
        <v>6426000</v>
      </c>
      <c r="E3162" t="s">
        <v>188</v>
      </c>
      <c r="F3162">
        <v>5210010105</v>
      </c>
      <c r="G3162" s="13">
        <v>90500</v>
      </c>
      <c r="I3162" t="s">
        <v>179</v>
      </c>
      <c r="J3162" t="s">
        <v>837</v>
      </c>
      <c r="K3162" t="s">
        <v>180</v>
      </c>
      <c r="L3162">
        <v>200058710</v>
      </c>
    </row>
    <row r="3163" spans="3:12">
      <c r="C3163">
        <v>2100300025</v>
      </c>
      <c r="D3163">
        <v>6426000</v>
      </c>
      <c r="E3163" t="s">
        <v>188</v>
      </c>
      <c r="F3163">
        <v>5210010105</v>
      </c>
      <c r="G3163" s="13">
        <v>1200</v>
      </c>
      <c r="I3163" t="s">
        <v>179</v>
      </c>
      <c r="J3163" t="s">
        <v>837</v>
      </c>
      <c r="K3163" t="s">
        <v>180</v>
      </c>
      <c r="L3163">
        <v>200053355</v>
      </c>
    </row>
    <row r="3164" spans="3:12">
      <c r="C3164">
        <v>2100300025</v>
      </c>
      <c r="D3164">
        <v>6426000</v>
      </c>
      <c r="E3164" t="s">
        <v>188</v>
      </c>
      <c r="F3164">
        <v>5210010105</v>
      </c>
      <c r="G3164" s="13">
        <v>1900</v>
      </c>
      <c r="I3164" t="s">
        <v>179</v>
      </c>
      <c r="J3164" t="s">
        <v>837</v>
      </c>
      <c r="K3164" t="s">
        <v>180</v>
      </c>
      <c r="L3164">
        <v>200053356</v>
      </c>
    </row>
    <row r="3165" spans="3:12">
      <c r="C3165">
        <v>2100300025</v>
      </c>
      <c r="D3165">
        <v>6426000</v>
      </c>
      <c r="E3165" t="s">
        <v>188</v>
      </c>
      <c r="F3165">
        <v>5210010105</v>
      </c>
      <c r="G3165" s="13">
        <v>2000</v>
      </c>
      <c r="I3165" t="s">
        <v>179</v>
      </c>
      <c r="J3165" t="s">
        <v>937</v>
      </c>
      <c r="K3165" t="s">
        <v>180</v>
      </c>
      <c r="L3165">
        <v>200063807</v>
      </c>
    </row>
    <row r="3166" spans="3:12">
      <c r="C3166">
        <v>2100300025</v>
      </c>
      <c r="D3166">
        <v>6426000</v>
      </c>
      <c r="E3166" t="s">
        <v>188</v>
      </c>
      <c r="F3166">
        <v>5210010105</v>
      </c>
      <c r="G3166" s="13">
        <v>4485</v>
      </c>
      <c r="I3166" t="s">
        <v>179</v>
      </c>
      <c r="J3166" t="s">
        <v>937</v>
      </c>
      <c r="K3166" t="s">
        <v>180</v>
      </c>
      <c r="L3166">
        <v>200063642</v>
      </c>
    </row>
    <row r="3167" spans="3:12">
      <c r="C3167">
        <v>2100300025</v>
      </c>
      <c r="D3167">
        <v>6426000</v>
      </c>
      <c r="E3167" t="s">
        <v>188</v>
      </c>
      <c r="F3167">
        <v>5210010105</v>
      </c>
      <c r="G3167" s="13">
        <v>2929</v>
      </c>
      <c r="I3167" t="s">
        <v>179</v>
      </c>
      <c r="J3167" t="s">
        <v>937</v>
      </c>
      <c r="K3167" t="s">
        <v>180</v>
      </c>
      <c r="L3167">
        <v>200063808</v>
      </c>
    </row>
    <row r="3168" spans="3:12">
      <c r="C3168">
        <v>2100300025</v>
      </c>
      <c r="D3168">
        <v>6426000</v>
      </c>
      <c r="E3168" t="s">
        <v>188</v>
      </c>
      <c r="F3168">
        <v>5210010105</v>
      </c>
      <c r="G3168" s="13">
        <v>2400</v>
      </c>
      <c r="I3168" t="s">
        <v>179</v>
      </c>
      <c r="J3168" t="s">
        <v>937</v>
      </c>
      <c r="K3168" t="s">
        <v>180</v>
      </c>
      <c r="L3168">
        <v>200063644</v>
      </c>
    </row>
    <row r="3169" spans="3:12">
      <c r="C3169">
        <v>2100300025</v>
      </c>
      <c r="D3169">
        <v>6426000</v>
      </c>
      <c r="E3169" t="s">
        <v>188</v>
      </c>
      <c r="F3169">
        <v>5210010105</v>
      </c>
      <c r="G3169" s="13">
        <v>4350</v>
      </c>
      <c r="I3169" t="s">
        <v>179</v>
      </c>
      <c r="J3169" t="s">
        <v>937</v>
      </c>
      <c r="K3169" t="s">
        <v>180</v>
      </c>
      <c r="L3169">
        <v>200062674</v>
      </c>
    </row>
    <row r="3170" spans="3:12">
      <c r="C3170">
        <v>2100300025</v>
      </c>
      <c r="D3170">
        <v>6426000</v>
      </c>
      <c r="E3170" t="s">
        <v>188</v>
      </c>
      <c r="F3170">
        <v>5210010105</v>
      </c>
      <c r="G3170" s="13">
        <v>1284</v>
      </c>
      <c r="I3170" t="s">
        <v>179</v>
      </c>
      <c r="J3170" t="s">
        <v>937</v>
      </c>
      <c r="K3170" t="s">
        <v>180</v>
      </c>
      <c r="L3170">
        <v>200064101</v>
      </c>
    </row>
    <row r="3171" spans="3:12">
      <c r="C3171">
        <v>2100300025</v>
      </c>
      <c r="D3171">
        <v>6426000</v>
      </c>
      <c r="E3171" t="s">
        <v>188</v>
      </c>
      <c r="F3171">
        <v>5210010105</v>
      </c>
      <c r="G3171" s="13">
        <v>1500</v>
      </c>
      <c r="I3171" t="s">
        <v>179</v>
      </c>
      <c r="J3171" t="s">
        <v>937</v>
      </c>
      <c r="K3171" t="s">
        <v>180</v>
      </c>
      <c r="L3171">
        <v>200061384</v>
      </c>
    </row>
    <row r="3172" spans="3:12">
      <c r="C3172">
        <v>2100300025</v>
      </c>
      <c r="D3172">
        <v>6426000</v>
      </c>
      <c r="E3172" t="s">
        <v>188</v>
      </c>
      <c r="F3172">
        <v>5210010105</v>
      </c>
      <c r="G3172" s="13">
        <v>18296</v>
      </c>
      <c r="I3172" t="s">
        <v>179</v>
      </c>
      <c r="J3172" t="s">
        <v>937</v>
      </c>
      <c r="K3172" t="s">
        <v>180</v>
      </c>
      <c r="L3172">
        <v>200057395</v>
      </c>
    </row>
    <row r="3173" spans="3:12">
      <c r="C3173">
        <v>2100300025</v>
      </c>
      <c r="D3173">
        <v>6426000</v>
      </c>
      <c r="E3173" t="s">
        <v>188</v>
      </c>
      <c r="F3173">
        <v>5210010105</v>
      </c>
      <c r="G3173" s="13">
        <v>38520</v>
      </c>
      <c r="I3173" t="s">
        <v>179</v>
      </c>
      <c r="J3173" t="s">
        <v>937</v>
      </c>
      <c r="K3173" t="s">
        <v>180</v>
      </c>
      <c r="L3173">
        <v>200063618</v>
      </c>
    </row>
    <row r="3174" spans="3:12">
      <c r="C3174">
        <v>2100300025</v>
      </c>
      <c r="D3174">
        <v>6426000</v>
      </c>
      <c r="E3174" t="s">
        <v>188</v>
      </c>
      <c r="F3174">
        <v>5210010105</v>
      </c>
      <c r="G3174" s="13">
        <v>223630</v>
      </c>
      <c r="I3174" t="s">
        <v>179</v>
      </c>
      <c r="J3174" t="s">
        <v>937</v>
      </c>
      <c r="K3174" t="s">
        <v>180</v>
      </c>
      <c r="L3174">
        <v>200063619</v>
      </c>
    </row>
    <row r="3175" spans="3:12">
      <c r="C3175">
        <v>2100300025</v>
      </c>
      <c r="D3175">
        <v>6426000</v>
      </c>
      <c r="E3175" t="s">
        <v>188</v>
      </c>
      <c r="F3175">
        <v>5210010105</v>
      </c>
      <c r="G3175" s="13">
        <v>8560</v>
      </c>
      <c r="I3175" t="s">
        <v>179</v>
      </c>
      <c r="J3175" t="s">
        <v>937</v>
      </c>
      <c r="K3175" t="s">
        <v>180</v>
      </c>
      <c r="L3175">
        <v>200062647</v>
      </c>
    </row>
    <row r="3176" spans="3:12">
      <c r="C3176">
        <v>2100300025</v>
      </c>
      <c r="D3176">
        <v>6426000</v>
      </c>
      <c r="E3176" t="s">
        <v>188</v>
      </c>
      <c r="F3176">
        <v>5210010105</v>
      </c>
      <c r="G3176" s="13">
        <v>11788</v>
      </c>
      <c r="I3176" t="s">
        <v>179</v>
      </c>
      <c r="J3176" t="s">
        <v>937</v>
      </c>
      <c r="K3176" t="s">
        <v>180</v>
      </c>
      <c r="L3176">
        <v>200063629</v>
      </c>
    </row>
    <row r="3177" spans="3:12">
      <c r="C3177">
        <v>2100300025</v>
      </c>
      <c r="D3177">
        <v>6426000</v>
      </c>
      <c r="E3177" t="s">
        <v>188</v>
      </c>
      <c r="F3177">
        <v>5210010105</v>
      </c>
      <c r="G3177">
        <v>500</v>
      </c>
      <c r="I3177" t="s">
        <v>179</v>
      </c>
      <c r="J3177" t="s">
        <v>938</v>
      </c>
      <c r="K3177" t="s">
        <v>180</v>
      </c>
      <c r="L3177">
        <v>200066505</v>
      </c>
    </row>
    <row r="3178" spans="3:12">
      <c r="C3178">
        <v>2100300025</v>
      </c>
      <c r="D3178">
        <v>6426000</v>
      </c>
      <c r="E3178" t="s">
        <v>188</v>
      </c>
      <c r="F3178">
        <v>5210010105</v>
      </c>
      <c r="G3178" s="13">
        <v>4000</v>
      </c>
      <c r="I3178" t="s">
        <v>179</v>
      </c>
      <c r="J3178" t="s">
        <v>938</v>
      </c>
      <c r="K3178" t="s">
        <v>180</v>
      </c>
      <c r="L3178">
        <v>200065305</v>
      </c>
    </row>
    <row r="3179" spans="3:12">
      <c r="C3179">
        <v>2100300025</v>
      </c>
      <c r="D3179">
        <v>6426000</v>
      </c>
      <c r="E3179" t="s">
        <v>188</v>
      </c>
      <c r="F3179">
        <v>5210010105</v>
      </c>
      <c r="G3179" s="13">
        <v>17976</v>
      </c>
      <c r="I3179" t="s">
        <v>179</v>
      </c>
      <c r="J3179" t="s">
        <v>926</v>
      </c>
      <c r="K3179" t="s">
        <v>180</v>
      </c>
      <c r="L3179">
        <v>200054888</v>
      </c>
    </row>
    <row r="3180" spans="3:12">
      <c r="C3180">
        <v>2100300025</v>
      </c>
      <c r="D3180">
        <v>6426000</v>
      </c>
      <c r="E3180" t="s">
        <v>188</v>
      </c>
      <c r="F3180">
        <v>5210010105</v>
      </c>
      <c r="G3180" s="13">
        <v>420000</v>
      </c>
      <c r="I3180" t="s">
        <v>179</v>
      </c>
      <c r="J3180" t="s">
        <v>926</v>
      </c>
      <c r="K3180" t="s">
        <v>180</v>
      </c>
      <c r="L3180">
        <v>200055305</v>
      </c>
    </row>
    <row r="3181" spans="3:12">
      <c r="C3181">
        <v>2100300025</v>
      </c>
      <c r="D3181">
        <v>6426000</v>
      </c>
      <c r="E3181" t="s">
        <v>188</v>
      </c>
      <c r="F3181">
        <v>5210010105</v>
      </c>
      <c r="G3181" s="13">
        <v>8400</v>
      </c>
      <c r="I3181" t="s">
        <v>179</v>
      </c>
      <c r="J3181" t="s">
        <v>830</v>
      </c>
      <c r="K3181" t="s">
        <v>180</v>
      </c>
      <c r="L3181">
        <v>200046005</v>
      </c>
    </row>
    <row r="3182" spans="3:12">
      <c r="C3182">
        <v>2100300025</v>
      </c>
      <c r="D3182">
        <v>6426000</v>
      </c>
      <c r="E3182" t="s">
        <v>188</v>
      </c>
      <c r="F3182">
        <v>5210010105</v>
      </c>
      <c r="G3182" s="13">
        <v>250000</v>
      </c>
      <c r="I3182" t="s">
        <v>179</v>
      </c>
      <c r="J3182" t="s">
        <v>830</v>
      </c>
      <c r="K3182" t="s">
        <v>180</v>
      </c>
      <c r="L3182">
        <v>200045459</v>
      </c>
    </row>
    <row r="3183" spans="3:12">
      <c r="C3183">
        <v>2100300025</v>
      </c>
      <c r="D3183">
        <v>6426000</v>
      </c>
      <c r="E3183" t="s">
        <v>188</v>
      </c>
      <c r="F3183">
        <v>5210010105</v>
      </c>
      <c r="G3183" s="13">
        <v>6750</v>
      </c>
      <c r="I3183" t="s">
        <v>179</v>
      </c>
      <c r="J3183" t="s">
        <v>830</v>
      </c>
      <c r="K3183" t="s">
        <v>180</v>
      </c>
      <c r="L3183">
        <v>200045512</v>
      </c>
    </row>
    <row r="3184" spans="3:12">
      <c r="C3184">
        <v>2100300025</v>
      </c>
      <c r="D3184">
        <v>6426000</v>
      </c>
      <c r="E3184" t="s">
        <v>188</v>
      </c>
      <c r="F3184">
        <v>5210010105</v>
      </c>
      <c r="G3184" s="13">
        <v>16015</v>
      </c>
      <c r="I3184" t="s">
        <v>179</v>
      </c>
      <c r="J3184" t="s">
        <v>564</v>
      </c>
      <c r="K3184" t="s">
        <v>180</v>
      </c>
      <c r="L3184">
        <v>200045657</v>
      </c>
    </row>
    <row r="3185" spans="3:12">
      <c r="C3185">
        <v>2100300025</v>
      </c>
      <c r="D3185">
        <v>6426000</v>
      </c>
      <c r="E3185" t="s">
        <v>188</v>
      </c>
      <c r="F3185">
        <v>5210010105</v>
      </c>
      <c r="G3185" s="13">
        <v>240000</v>
      </c>
      <c r="I3185" t="s">
        <v>179</v>
      </c>
      <c r="J3185" t="s">
        <v>564</v>
      </c>
      <c r="K3185" t="s">
        <v>180</v>
      </c>
      <c r="L3185">
        <v>200045446</v>
      </c>
    </row>
    <row r="3186" spans="3:12">
      <c r="C3186">
        <v>2100300025</v>
      </c>
      <c r="D3186">
        <v>6426000</v>
      </c>
      <c r="E3186" t="s">
        <v>188</v>
      </c>
      <c r="F3186">
        <v>5210010105</v>
      </c>
      <c r="G3186" s="13">
        <v>240000</v>
      </c>
      <c r="I3186" t="s">
        <v>179</v>
      </c>
      <c r="J3186" t="s">
        <v>564</v>
      </c>
      <c r="K3186" t="s">
        <v>180</v>
      </c>
      <c r="L3186">
        <v>200045902</v>
      </c>
    </row>
    <row r="3187" spans="3:12">
      <c r="C3187">
        <v>2100300025</v>
      </c>
      <c r="D3187">
        <v>6426000</v>
      </c>
      <c r="E3187" t="s">
        <v>188</v>
      </c>
      <c r="F3187">
        <v>5210010105</v>
      </c>
      <c r="G3187" s="13">
        <v>52965</v>
      </c>
      <c r="I3187" t="s">
        <v>179</v>
      </c>
      <c r="J3187" t="s">
        <v>564</v>
      </c>
      <c r="K3187" t="s">
        <v>180</v>
      </c>
      <c r="L3187">
        <v>200045510</v>
      </c>
    </row>
    <row r="3188" spans="3:12">
      <c r="C3188">
        <v>2100300025</v>
      </c>
      <c r="D3188">
        <v>6426000</v>
      </c>
      <c r="E3188" t="s">
        <v>188</v>
      </c>
      <c r="F3188">
        <v>5210010105</v>
      </c>
      <c r="G3188" s="13">
        <v>46366</v>
      </c>
      <c r="I3188" t="s">
        <v>179</v>
      </c>
      <c r="J3188" t="s">
        <v>564</v>
      </c>
      <c r="K3188" t="s">
        <v>180</v>
      </c>
      <c r="L3188">
        <v>200045658</v>
      </c>
    </row>
    <row r="3189" spans="3:12">
      <c r="C3189">
        <v>2100300025</v>
      </c>
      <c r="D3189">
        <v>6426000</v>
      </c>
      <c r="E3189" t="s">
        <v>188</v>
      </c>
      <c r="F3189">
        <v>5210010105</v>
      </c>
      <c r="G3189" s="13">
        <v>295000</v>
      </c>
      <c r="I3189" t="s">
        <v>179</v>
      </c>
      <c r="J3189" t="s">
        <v>832</v>
      </c>
      <c r="K3189" t="s">
        <v>180</v>
      </c>
      <c r="L3189">
        <v>200054629</v>
      </c>
    </row>
    <row r="3190" spans="3:12">
      <c r="C3190">
        <v>2100300025</v>
      </c>
      <c r="D3190">
        <v>6426000</v>
      </c>
      <c r="E3190" t="s">
        <v>188</v>
      </c>
      <c r="F3190">
        <v>5210010105</v>
      </c>
      <c r="G3190" s="13">
        <v>160000</v>
      </c>
      <c r="I3190" t="s">
        <v>179</v>
      </c>
      <c r="J3190" t="s">
        <v>832</v>
      </c>
      <c r="K3190" t="s">
        <v>180</v>
      </c>
      <c r="L3190">
        <v>200054630</v>
      </c>
    </row>
    <row r="3191" spans="3:12">
      <c r="C3191">
        <v>2100300025</v>
      </c>
      <c r="D3191">
        <v>6426000</v>
      </c>
      <c r="E3191" t="s">
        <v>188</v>
      </c>
      <c r="F3191">
        <v>5210010105</v>
      </c>
      <c r="G3191" s="13">
        <v>41604</v>
      </c>
      <c r="I3191" t="s">
        <v>179</v>
      </c>
      <c r="J3191" t="s">
        <v>832</v>
      </c>
      <c r="K3191" t="s">
        <v>180</v>
      </c>
      <c r="L3191">
        <v>200054631</v>
      </c>
    </row>
    <row r="3192" spans="3:12">
      <c r="C3192">
        <v>2100300025</v>
      </c>
      <c r="D3192">
        <v>6426000</v>
      </c>
      <c r="E3192" t="s">
        <v>188</v>
      </c>
      <c r="F3192">
        <v>5210010105</v>
      </c>
      <c r="G3192" s="13">
        <v>22560</v>
      </c>
      <c r="I3192" t="s">
        <v>179</v>
      </c>
      <c r="J3192" t="s">
        <v>832</v>
      </c>
      <c r="K3192" t="s">
        <v>180</v>
      </c>
      <c r="L3192">
        <v>200052543</v>
      </c>
    </row>
    <row r="3193" spans="3:12">
      <c r="C3193">
        <v>2100300025</v>
      </c>
      <c r="D3193">
        <v>6426000</v>
      </c>
      <c r="E3193" t="s">
        <v>188</v>
      </c>
      <c r="F3193">
        <v>5210010105</v>
      </c>
      <c r="G3193" s="13">
        <v>13000</v>
      </c>
      <c r="I3193" t="s">
        <v>179</v>
      </c>
      <c r="J3193" t="s">
        <v>832</v>
      </c>
      <c r="K3193" t="s">
        <v>180</v>
      </c>
      <c r="L3193">
        <v>200054360</v>
      </c>
    </row>
    <row r="3194" spans="3:12">
      <c r="C3194">
        <v>2100300025</v>
      </c>
      <c r="D3194">
        <v>6426000</v>
      </c>
      <c r="E3194" t="s">
        <v>188</v>
      </c>
      <c r="F3194">
        <v>5210010105</v>
      </c>
      <c r="G3194" s="13">
        <v>42800</v>
      </c>
      <c r="I3194" t="s">
        <v>179</v>
      </c>
      <c r="J3194" t="s">
        <v>832</v>
      </c>
      <c r="K3194" t="s">
        <v>180</v>
      </c>
      <c r="L3194">
        <v>200052544</v>
      </c>
    </row>
    <row r="3195" spans="3:12">
      <c r="C3195">
        <v>2100300025</v>
      </c>
      <c r="D3195">
        <v>6426000</v>
      </c>
      <c r="E3195" t="s">
        <v>188</v>
      </c>
      <c r="F3195">
        <v>5210010105</v>
      </c>
      <c r="G3195" s="13">
        <v>1200</v>
      </c>
      <c r="I3195" t="s">
        <v>179</v>
      </c>
      <c r="J3195" t="s">
        <v>564</v>
      </c>
      <c r="K3195" t="s">
        <v>180</v>
      </c>
      <c r="L3195">
        <v>200044905</v>
      </c>
    </row>
    <row r="3196" spans="3:12">
      <c r="C3196">
        <v>2100300025</v>
      </c>
      <c r="D3196">
        <v>6426000</v>
      </c>
      <c r="E3196" t="s">
        <v>188</v>
      </c>
      <c r="F3196">
        <v>5210010105</v>
      </c>
      <c r="G3196" s="13">
        <v>2214</v>
      </c>
      <c r="I3196" t="s">
        <v>179</v>
      </c>
      <c r="J3196" t="s">
        <v>564</v>
      </c>
      <c r="K3196" t="s">
        <v>180</v>
      </c>
      <c r="L3196">
        <v>200044813</v>
      </c>
    </row>
    <row r="3197" spans="3:12">
      <c r="C3197">
        <v>2100300025</v>
      </c>
      <c r="D3197">
        <v>6426000</v>
      </c>
      <c r="E3197" t="s">
        <v>188</v>
      </c>
      <c r="F3197">
        <v>5210010105</v>
      </c>
      <c r="G3197" s="13">
        <v>4160</v>
      </c>
      <c r="I3197" t="s">
        <v>179</v>
      </c>
      <c r="J3197" t="s">
        <v>564</v>
      </c>
      <c r="K3197" t="s">
        <v>180</v>
      </c>
      <c r="L3197">
        <v>200045043</v>
      </c>
    </row>
    <row r="3198" spans="3:12">
      <c r="C3198">
        <v>2100300025</v>
      </c>
      <c r="D3198">
        <v>6426000</v>
      </c>
      <c r="E3198" t="s">
        <v>188</v>
      </c>
      <c r="F3198">
        <v>5210010105</v>
      </c>
      <c r="G3198" s="13">
        <v>1260</v>
      </c>
      <c r="I3198" t="s">
        <v>179</v>
      </c>
      <c r="J3198" t="s">
        <v>564</v>
      </c>
      <c r="K3198" t="s">
        <v>180</v>
      </c>
      <c r="L3198">
        <v>200043382</v>
      </c>
    </row>
    <row r="3199" spans="3:12">
      <c r="C3199">
        <v>2100300025</v>
      </c>
      <c r="D3199">
        <v>6426000</v>
      </c>
      <c r="E3199" t="s">
        <v>188</v>
      </c>
      <c r="F3199">
        <v>5210010105</v>
      </c>
      <c r="G3199" s="13">
        <v>1870</v>
      </c>
      <c r="I3199" t="s">
        <v>179</v>
      </c>
      <c r="J3199" t="s">
        <v>564</v>
      </c>
      <c r="K3199" t="s">
        <v>180</v>
      </c>
      <c r="L3199">
        <v>200045044</v>
      </c>
    </row>
    <row r="3200" spans="3:12">
      <c r="C3200">
        <v>2100300025</v>
      </c>
      <c r="D3200">
        <v>6426000</v>
      </c>
      <c r="E3200" t="s">
        <v>188</v>
      </c>
      <c r="F3200">
        <v>5210010105</v>
      </c>
      <c r="G3200" s="13">
        <v>9475</v>
      </c>
      <c r="I3200" t="s">
        <v>179</v>
      </c>
      <c r="J3200" t="s">
        <v>564</v>
      </c>
      <c r="K3200" t="s">
        <v>180</v>
      </c>
      <c r="L3200">
        <v>200044907</v>
      </c>
    </row>
    <row r="3201" spans="3:12">
      <c r="C3201">
        <v>2100300025</v>
      </c>
      <c r="D3201">
        <v>6426000</v>
      </c>
      <c r="E3201" t="s">
        <v>188</v>
      </c>
      <c r="F3201">
        <v>5210010105</v>
      </c>
      <c r="G3201" s="13">
        <v>185150</v>
      </c>
      <c r="I3201" t="s">
        <v>179</v>
      </c>
      <c r="J3201" t="s">
        <v>564</v>
      </c>
      <c r="K3201" t="s">
        <v>180</v>
      </c>
      <c r="L3201">
        <v>200042757</v>
      </c>
    </row>
    <row r="3202" spans="3:12">
      <c r="C3202">
        <v>2100300025</v>
      </c>
      <c r="D3202">
        <v>6426000</v>
      </c>
      <c r="E3202" t="s">
        <v>188</v>
      </c>
      <c r="F3202">
        <v>5210010105</v>
      </c>
      <c r="G3202" s="13">
        <v>402160</v>
      </c>
      <c r="I3202" t="s">
        <v>179</v>
      </c>
      <c r="J3202" t="s">
        <v>564</v>
      </c>
      <c r="K3202" t="s">
        <v>180</v>
      </c>
      <c r="L3202">
        <v>200044908</v>
      </c>
    </row>
    <row r="3203" spans="3:12">
      <c r="C3203">
        <v>2100300025</v>
      </c>
      <c r="D3203">
        <v>6426000</v>
      </c>
      <c r="E3203" t="s">
        <v>188</v>
      </c>
      <c r="F3203">
        <v>5210010105</v>
      </c>
      <c r="G3203" s="13">
        <v>10000</v>
      </c>
      <c r="I3203" t="s">
        <v>179</v>
      </c>
      <c r="J3203" t="s">
        <v>564</v>
      </c>
      <c r="K3203" t="s">
        <v>180</v>
      </c>
      <c r="L3203">
        <v>200005366</v>
      </c>
    </row>
    <row r="3204" spans="3:12">
      <c r="C3204">
        <v>2100300025</v>
      </c>
      <c r="D3204">
        <v>6426000</v>
      </c>
      <c r="E3204" t="s">
        <v>188</v>
      </c>
      <c r="F3204">
        <v>5210010105</v>
      </c>
      <c r="G3204" s="13">
        <v>32000</v>
      </c>
      <c r="I3204" t="s">
        <v>179</v>
      </c>
      <c r="J3204" t="s">
        <v>564</v>
      </c>
      <c r="K3204" t="s">
        <v>180</v>
      </c>
      <c r="L3204">
        <v>200042758</v>
      </c>
    </row>
    <row r="3205" spans="3:12">
      <c r="C3205">
        <v>2100300025</v>
      </c>
      <c r="D3205">
        <v>6426000</v>
      </c>
      <c r="E3205" t="s">
        <v>188</v>
      </c>
      <c r="F3205">
        <v>5210010105</v>
      </c>
      <c r="G3205" s="13">
        <v>61360</v>
      </c>
      <c r="I3205" t="s">
        <v>179</v>
      </c>
      <c r="J3205" t="s">
        <v>564</v>
      </c>
      <c r="K3205" t="s">
        <v>180</v>
      </c>
      <c r="L3205">
        <v>200043386</v>
      </c>
    </row>
    <row r="3206" spans="3:12">
      <c r="C3206">
        <v>2100300025</v>
      </c>
      <c r="D3206">
        <v>6426000</v>
      </c>
      <c r="E3206" t="s">
        <v>188</v>
      </c>
      <c r="F3206">
        <v>5210010105</v>
      </c>
      <c r="G3206" s="13">
        <v>269832.59999999998</v>
      </c>
      <c r="I3206" t="s">
        <v>179</v>
      </c>
      <c r="J3206" t="s">
        <v>927</v>
      </c>
      <c r="K3206" t="s">
        <v>180</v>
      </c>
      <c r="L3206">
        <v>200047709</v>
      </c>
    </row>
    <row r="3207" spans="3:12">
      <c r="C3207">
        <v>2100300025</v>
      </c>
      <c r="D3207">
        <v>6426000</v>
      </c>
      <c r="E3207" t="s">
        <v>188</v>
      </c>
      <c r="F3207">
        <v>5210010105</v>
      </c>
      <c r="G3207" s="13">
        <v>2890</v>
      </c>
      <c r="I3207" t="s">
        <v>179</v>
      </c>
      <c r="J3207" t="s">
        <v>927</v>
      </c>
      <c r="K3207" t="s">
        <v>180</v>
      </c>
      <c r="L3207">
        <v>200047807</v>
      </c>
    </row>
    <row r="3208" spans="3:12">
      <c r="C3208">
        <v>2100300025</v>
      </c>
      <c r="D3208">
        <v>6426000</v>
      </c>
      <c r="E3208" t="s">
        <v>188</v>
      </c>
      <c r="F3208">
        <v>5210010105</v>
      </c>
      <c r="G3208" s="13">
        <v>2568</v>
      </c>
      <c r="I3208" t="s">
        <v>179</v>
      </c>
      <c r="J3208" t="s">
        <v>927</v>
      </c>
      <c r="K3208" t="s">
        <v>180</v>
      </c>
      <c r="L3208">
        <v>200048005</v>
      </c>
    </row>
    <row r="3209" spans="3:12">
      <c r="C3209">
        <v>2100300025</v>
      </c>
      <c r="D3209">
        <v>6426000</v>
      </c>
      <c r="E3209" t="s">
        <v>188</v>
      </c>
      <c r="F3209">
        <v>5210010105</v>
      </c>
      <c r="G3209" s="13">
        <v>2640.76</v>
      </c>
      <c r="I3209" t="s">
        <v>179</v>
      </c>
      <c r="J3209" t="s">
        <v>927</v>
      </c>
      <c r="K3209" t="s">
        <v>180</v>
      </c>
      <c r="L3209">
        <v>200047809</v>
      </c>
    </row>
    <row r="3210" spans="3:12">
      <c r="C3210">
        <v>2100300025</v>
      </c>
      <c r="D3210">
        <v>6426000</v>
      </c>
      <c r="E3210" t="s">
        <v>188</v>
      </c>
      <c r="F3210">
        <v>5210010105</v>
      </c>
      <c r="G3210" s="13">
        <v>3210000</v>
      </c>
      <c r="I3210" t="s">
        <v>179</v>
      </c>
      <c r="J3210" t="s">
        <v>927</v>
      </c>
      <c r="K3210" t="s">
        <v>180</v>
      </c>
      <c r="L3210">
        <v>200048010</v>
      </c>
    </row>
    <row r="3211" spans="3:12">
      <c r="C3211">
        <v>2100300025</v>
      </c>
      <c r="D3211">
        <v>6426000</v>
      </c>
      <c r="E3211" t="s">
        <v>188</v>
      </c>
      <c r="F3211">
        <v>5210010105</v>
      </c>
      <c r="G3211" s="13">
        <v>6420</v>
      </c>
      <c r="I3211" t="s">
        <v>179</v>
      </c>
      <c r="J3211" t="s">
        <v>927</v>
      </c>
      <c r="K3211" t="s">
        <v>180</v>
      </c>
      <c r="L3211">
        <v>200046493</v>
      </c>
    </row>
    <row r="3212" spans="3:12">
      <c r="C3212">
        <v>2100300025</v>
      </c>
      <c r="D3212">
        <v>6426000</v>
      </c>
      <c r="E3212" t="s">
        <v>188</v>
      </c>
      <c r="F3212">
        <v>5210010105</v>
      </c>
      <c r="G3212" s="13">
        <v>26100</v>
      </c>
      <c r="I3212" t="s">
        <v>179</v>
      </c>
      <c r="J3212" t="s">
        <v>927</v>
      </c>
      <c r="K3212" t="s">
        <v>180</v>
      </c>
      <c r="L3212">
        <v>200046891</v>
      </c>
    </row>
    <row r="3213" spans="3:12">
      <c r="C3213">
        <v>2100300025</v>
      </c>
      <c r="D3213">
        <v>6426000</v>
      </c>
      <c r="E3213" t="s">
        <v>188</v>
      </c>
      <c r="F3213">
        <v>5210010105</v>
      </c>
      <c r="G3213" s="13">
        <v>20062.5</v>
      </c>
      <c r="I3213" t="s">
        <v>179</v>
      </c>
      <c r="J3213" t="s">
        <v>927</v>
      </c>
      <c r="K3213" t="s">
        <v>180</v>
      </c>
      <c r="L3213">
        <v>200046893</v>
      </c>
    </row>
    <row r="3214" spans="3:12">
      <c r="C3214">
        <v>2100300025</v>
      </c>
      <c r="D3214">
        <v>6426000</v>
      </c>
      <c r="E3214" t="s">
        <v>188</v>
      </c>
      <c r="F3214">
        <v>5210010105</v>
      </c>
      <c r="G3214" s="13">
        <v>35000</v>
      </c>
      <c r="I3214" t="s">
        <v>179</v>
      </c>
      <c r="J3214" t="s">
        <v>927</v>
      </c>
      <c r="K3214" t="s">
        <v>180</v>
      </c>
      <c r="L3214">
        <v>200047609</v>
      </c>
    </row>
    <row r="3215" spans="3:12">
      <c r="C3215">
        <v>2100300025</v>
      </c>
      <c r="D3215">
        <v>6426000</v>
      </c>
      <c r="E3215" t="s">
        <v>188</v>
      </c>
      <c r="F3215">
        <v>5210010105</v>
      </c>
      <c r="G3215" s="13">
        <v>152500</v>
      </c>
      <c r="I3215" t="s">
        <v>179</v>
      </c>
      <c r="J3215" t="s">
        <v>927</v>
      </c>
      <c r="K3215" t="s">
        <v>180</v>
      </c>
      <c r="L3215">
        <v>200047511</v>
      </c>
    </row>
    <row r="3216" spans="3:12">
      <c r="C3216">
        <v>2100300025</v>
      </c>
      <c r="D3216">
        <v>6426000</v>
      </c>
      <c r="E3216" t="s">
        <v>188</v>
      </c>
      <c r="F3216">
        <v>5210010105</v>
      </c>
      <c r="G3216" s="13">
        <v>145000</v>
      </c>
      <c r="I3216" t="s">
        <v>179</v>
      </c>
      <c r="J3216" t="s">
        <v>927</v>
      </c>
      <c r="K3216" t="s">
        <v>180</v>
      </c>
      <c r="L3216">
        <v>200047512</v>
      </c>
    </row>
    <row r="3217" spans="3:12">
      <c r="C3217">
        <v>2100300025</v>
      </c>
      <c r="D3217">
        <v>6426000</v>
      </c>
      <c r="E3217" t="s">
        <v>188</v>
      </c>
      <c r="F3217">
        <v>5210010105</v>
      </c>
      <c r="G3217" s="13">
        <v>138000</v>
      </c>
      <c r="I3217" t="s">
        <v>179</v>
      </c>
      <c r="J3217" t="s">
        <v>927</v>
      </c>
      <c r="K3217" t="s">
        <v>180</v>
      </c>
      <c r="L3217">
        <v>200046494</v>
      </c>
    </row>
    <row r="3218" spans="3:12">
      <c r="C3218">
        <v>2100300025</v>
      </c>
      <c r="D3218">
        <v>6426000</v>
      </c>
      <c r="E3218" t="s">
        <v>188</v>
      </c>
      <c r="F3218">
        <v>5210010105</v>
      </c>
      <c r="G3218" s="13">
        <v>400400</v>
      </c>
      <c r="I3218" t="s">
        <v>179</v>
      </c>
      <c r="J3218" t="s">
        <v>927</v>
      </c>
      <c r="K3218" t="s">
        <v>180</v>
      </c>
      <c r="L3218">
        <v>200047513</v>
      </c>
    </row>
    <row r="3219" spans="3:12">
      <c r="C3219">
        <v>2100300025</v>
      </c>
      <c r="D3219">
        <v>6426000</v>
      </c>
      <c r="E3219" t="s">
        <v>188</v>
      </c>
      <c r="F3219">
        <v>5210010105</v>
      </c>
      <c r="G3219" s="13">
        <v>119840</v>
      </c>
      <c r="I3219" t="s">
        <v>179</v>
      </c>
      <c r="J3219" t="s">
        <v>927</v>
      </c>
      <c r="K3219" t="s">
        <v>180</v>
      </c>
      <c r="L3219">
        <v>200046698</v>
      </c>
    </row>
    <row r="3220" spans="3:12">
      <c r="C3220">
        <v>2100300025</v>
      </c>
      <c r="D3220">
        <v>6426000</v>
      </c>
      <c r="E3220" t="s">
        <v>188</v>
      </c>
      <c r="F3220">
        <v>5210010105</v>
      </c>
      <c r="G3220" s="13">
        <v>113850</v>
      </c>
      <c r="I3220" t="s">
        <v>179</v>
      </c>
      <c r="J3220" t="s">
        <v>927</v>
      </c>
      <c r="K3220" t="s">
        <v>180</v>
      </c>
      <c r="L3220">
        <v>200046496</v>
      </c>
    </row>
    <row r="3221" spans="3:12">
      <c r="C3221">
        <v>2100300025</v>
      </c>
      <c r="D3221">
        <v>6426000</v>
      </c>
      <c r="E3221" t="s">
        <v>188</v>
      </c>
      <c r="F3221">
        <v>5210010105</v>
      </c>
      <c r="G3221" s="13">
        <v>177500</v>
      </c>
      <c r="I3221" t="s">
        <v>179</v>
      </c>
      <c r="J3221" t="s">
        <v>927</v>
      </c>
      <c r="K3221" t="s">
        <v>180</v>
      </c>
      <c r="L3221">
        <v>200046898</v>
      </c>
    </row>
    <row r="3222" spans="3:12">
      <c r="C3222">
        <v>2100300025</v>
      </c>
      <c r="D3222">
        <v>6426000</v>
      </c>
      <c r="E3222" t="s">
        <v>188</v>
      </c>
      <c r="F3222">
        <v>5210010105</v>
      </c>
      <c r="G3222" s="13">
        <v>82000</v>
      </c>
      <c r="I3222" t="s">
        <v>179</v>
      </c>
      <c r="J3222" t="s">
        <v>929</v>
      </c>
      <c r="K3222" t="s">
        <v>180</v>
      </c>
      <c r="L3222">
        <v>200053423</v>
      </c>
    </row>
    <row r="3223" spans="3:12">
      <c r="C3223">
        <v>2100300025</v>
      </c>
      <c r="D3223">
        <v>6426000</v>
      </c>
      <c r="E3223" t="s">
        <v>188</v>
      </c>
      <c r="F3223">
        <v>5210010105</v>
      </c>
      <c r="G3223" s="13">
        <v>3600</v>
      </c>
      <c r="I3223" t="s">
        <v>179</v>
      </c>
      <c r="J3223" t="s">
        <v>929</v>
      </c>
      <c r="K3223" t="s">
        <v>180</v>
      </c>
      <c r="L3223">
        <v>200053572</v>
      </c>
    </row>
    <row r="3224" spans="3:12">
      <c r="C3224">
        <v>2100300025</v>
      </c>
      <c r="D3224">
        <v>6426000</v>
      </c>
      <c r="E3224" t="s">
        <v>188</v>
      </c>
      <c r="F3224">
        <v>5210010105</v>
      </c>
      <c r="G3224" s="13">
        <v>2048</v>
      </c>
      <c r="I3224" t="s">
        <v>179</v>
      </c>
      <c r="J3224" t="s">
        <v>929</v>
      </c>
      <c r="K3224" t="s">
        <v>180</v>
      </c>
      <c r="L3224">
        <v>200053573</v>
      </c>
    </row>
    <row r="3225" spans="3:12">
      <c r="C3225">
        <v>2100300025</v>
      </c>
      <c r="D3225">
        <v>6426000</v>
      </c>
      <c r="E3225" t="s">
        <v>188</v>
      </c>
      <c r="F3225">
        <v>5210010105</v>
      </c>
      <c r="G3225" s="13">
        <v>1809800</v>
      </c>
      <c r="I3225" t="s">
        <v>179</v>
      </c>
      <c r="J3225" t="s">
        <v>929</v>
      </c>
      <c r="K3225" t="s">
        <v>180</v>
      </c>
      <c r="L3225">
        <v>200053575</v>
      </c>
    </row>
    <row r="3226" spans="3:12">
      <c r="C3226">
        <v>2100300025</v>
      </c>
      <c r="D3226">
        <v>6426000</v>
      </c>
      <c r="E3226" t="s">
        <v>188</v>
      </c>
      <c r="F3226">
        <v>5210010105</v>
      </c>
      <c r="G3226" s="13">
        <v>79917.87</v>
      </c>
      <c r="I3226" t="s">
        <v>179</v>
      </c>
      <c r="J3226" t="s">
        <v>837</v>
      </c>
      <c r="K3226" t="s">
        <v>180</v>
      </c>
      <c r="L3226">
        <v>200057322</v>
      </c>
    </row>
    <row r="3227" spans="3:12">
      <c r="C3227">
        <v>2100300025</v>
      </c>
      <c r="D3227">
        <v>6426000</v>
      </c>
      <c r="E3227" t="s">
        <v>188</v>
      </c>
      <c r="F3227">
        <v>5210010105</v>
      </c>
      <c r="G3227" s="13">
        <v>35000</v>
      </c>
      <c r="I3227" t="s">
        <v>179</v>
      </c>
      <c r="J3227" t="s">
        <v>837</v>
      </c>
      <c r="K3227" t="s">
        <v>180</v>
      </c>
      <c r="L3227">
        <v>200057323</v>
      </c>
    </row>
    <row r="3228" spans="3:12">
      <c r="C3228">
        <v>2100300025</v>
      </c>
      <c r="D3228">
        <v>6426000</v>
      </c>
      <c r="E3228" t="s">
        <v>188</v>
      </c>
      <c r="F3228">
        <v>5210010105</v>
      </c>
      <c r="G3228" s="13">
        <v>327000</v>
      </c>
      <c r="I3228" t="s">
        <v>179</v>
      </c>
      <c r="J3228" t="s">
        <v>837</v>
      </c>
      <c r="K3228" t="s">
        <v>180</v>
      </c>
      <c r="L3228">
        <v>200057682</v>
      </c>
    </row>
    <row r="3229" spans="3:12">
      <c r="C3229">
        <v>2100300025</v>
      </c>
      <c r="D3229">
        <v>6426000</v>
      </c>
      <c r="E3229" t="s">
        <v>188</v>
      </c>
      <c r="F3229">
        <v>5210010105</v>
      </c>
      <c r="G3229" s="13">
        <v>12000</v>
      </c>
      <c r="I3229" t="s">
        <v>179</v>
      </c>
      <c r="J3229" t="s">
        <v>837</v>
      </c>
      <c r="K3229" t="s">
        <v>180</v>
      </c>
      <c r="L3229">
        <v>200057683</v>
      </c>
    </row>
    <row r="3230" spans="3:12">
      <c r="C3230">
        <v>2100300025</v>
      </c>
      <c r="D3230">
        <v>6426000</v>
      </c>
      <c r="E3230" t="s">
        <v>188</v>
      </c>
      <c r="F3230">
        <v>5210010105</v>
      </c>
      <c r="G3230" s="13">
        <v>26750</v>
      </c>
      <c r="I3230" t="s">
        <v>179</v>
      </c>
      <c r="J3230" t="s">
        <v>837</v>
      </c>
      <c r="K3230" t="s">
        <v>180</v>
      </c>
      <c r="L3230">
        <v>200057756</v>
      </c>
    </row>
    <row r="3231" spans="3:12">
      <c r="C3231">
        <v>2100300025</v>
      </c>
      <c r="D3231">
        <v>6426000</v>
      </c>
      <c r="E3231" t="s">
        <v>188</v>
      </c>
      <c r="F3231">
        <v>5210010105</v>
      </c>
      <c r="G3231" s="13">
        <v>56000</v>
      </c>
      <c r="I3231" t="s">
        <v>179</v>
      </c>
      <c r="J3231" t="s">
        <v>837</v>
      </c>
      <c r="K3231" t="s">
        <v>180</v>
      </c>
      <c r="L3231">
        <v>200057684</v>
      </c>
    </row>
    <row r="3232" spans="3:12">
      <c r="C3232">
        <v>2100300025</v>
      </c>
      <c r="D3232">
        <v>6426000</v>
      </c>
      <c r="E3232" t="s">
        <v>188</v>
      </c>
      <c r="F3232">
        <v>5210010105</v>
      </c>
      <c r="G3232" s="13">
        <v>6000</v>
      </c>
      <c r="I3232" t="s">
        <v>179</v>
      </c>
      <c r="J3232" t="s">
        <v>837</v>
      </c>
      <c r="K3232" t="s">
        <v>180</v>
      </c>
      <c r="L3232">
        <v>200057685</v>
      </c>
    </row>
    <row r="3233" spans="3:12">
      <c r="C3233">
        <v>2100300025</v>
      </c>
      <c r="D3233">
        <v>6426000</v>
      </c>
      <c r="E3233" t="s">
        <v>188</v>
      </c>
      <c r="F3233">
        <v>5210010105</v>
      </c>
      <c r="G3233" s="13">
        <v>42930</v>
      </c>
      <c r="I3233" t="s">
        <v>179</v>
      </c>
      <c r="J3233" t="s">
        <v>932</v>
      </c>
      <c r="K3233" t="s">
        <v>180</v>
      </c>
      <c r="L3233">
        <v>200057588</v>
      </c>
    </row>
    <row r="3234" spans="3:12">
      <c r="C3234">
        <v>2100300025</v>
      </c>
      <c r="D3234">
        <v>6426000</v>
      </c>
      <c r="E3234" t="s">
        <v>188</v>
      </c>
      <c r="F3234">
        <v>5210010105</v>
      </c>
      <c r="G3234" s="13">
        <v>210000</v>
      </c>
      <c r="I3234" t="s">
        <v>179</v>
      </c>
      <c r="J3234" t="s">
        <v>932</v>
      </c>
      <c r="K3234" t="s">
        <v>180</v>
      </c>
      <c r="L3234">
        <v>200057589</v>
      </c>
    </row>
    <row r="3235" spans="3:12">
      <c r="C3235">
        <v>2100300025</v>
      </c>
      <c r="D3235">
        <v>6426000</v>
      </c>
      <c r="E3235" t="s">
        <v>188</v>
      </c>
      <c r="F3235">
        <v>5210010105</v>
      </c>
      <c r="G3235" s="13">
        <v>7087</v>
      </c>
      <c r="I3235" t="s">
        <v>179</v>
      </c>
      <c r="J3235" t="s">
        <v>932</v>
      </c>
      <c r="K3235" t="s">
        <v>180</v>
      </c>
      <c r="L3235">
        <v>200059930</v>
      </c>
    </row>
    <row r="3236" spans="3:12">
      <c r="C3236">
        <v>2100300025</v>
      </c>
      <c r="D3236">
        <v>6426000</v>
      </c>
      <c r="E3236" t="s">
        <v>188</v>
      </c>
      <c r="F3236">
        <v>5210010105</v>
      </c>
      <c r="G3236" s="13">
        <v>10500</v>
      </c>
      <c r="I3236" t="s">
        <v>179</v>
      </c>
      <c r="J3236" t="s">
        <v>932</v>
      </c>
      <c r="K3236" t="s">
        <v>180</v>
      </c>
      <c r="L3236">
        <v>200059544</v>
      </c>
    </row>
    <row r="3237" spans="3:12">
      <c r="C3237">
        <v>2100300025</v>
      </c>
      <c r="D3237">
        <v>6426000</v>
      </c>
      <c r="E3237" t="s">
        <v>188</v>
      </c>
      <c r="F3237">
        <v>5210010105</v>
      </c>
      <c r="G3237" s="13">
        <v>80000</v>
      </c>
      <c r="I3237" t="s">
        <v>179</v>
      </c>
      <c r="J3237" t="s">
        <v>933</v>
      </c>
      <c r="K3237" t="s">
        <v>180</v>
      </c>
      <c r="L3237">
        <v>200060865</v>
      </c>
    </row>
    <row r="3238" spans="3:12">
      <c r="C3238">
        <v>2100300025</v>
      </c>
      <c r="D3238">
        <v>6426000</v>
      </c>
      <c r="E3238" t="s">
        <v>188</v>
      </c>
      <c r="F3238">
        <v>5210010105</v>
      </c>
      <c r="G3238" s="13">
        <v>97965</v>
      </c>
      <c r="I3238" t="s">
        <v>179</v>
      </c>
      <c r="J3238" t="s">
        <v>933</v>
      </c>
      <c r="K3238" t="s">
        <v>180</v>
      </c>
      <c r="L3238">
        <v>200061838</v>
      </c>
    </row>
    <row r="3239" spans="3:12">
      <c r="C3239">
        <v>2100300025</v>
      </c>
      <c r="D3239">
        <v>6426000</v>
      </c>
      <c r="E3239" t="s">
        <v>188</v>
      </c>
      <c r="F3239">
        <v>5210010105</v>
      </c>
      <c r="G3239" s="13">
        <v>54000</v>
      </c>
      <c r="I3239" t="s">
        <v>179</v>
      </c>
      <c r="J3239" t="s">
        <v>935</v>
      </c>
      <c r="K3239" t="s">
        <v>180</v>
      </c>
      <c r="L3239">
        <v>200064680</v>
      </c>
    </row>
    <row r="3240" spans="3:12">
      <c r="C3240">
        <v>2100300025</v>
      </c>
      <c r="D3240">
        <v>6426000</v>
      </c>
      <c r="E3240" t="s">
        <v>188</v>
      </c>
      <c r="F3240">
        <v>5210010105</v>
      </c>
      <c r="G3240" s="13">
        <v>300000</v>
      </c>
      <c r="I3240" t="s">
        <v>179</v>
      </c>
      <c r="J3240" t="s">
        <v>935</v>
      </c>
      <c r="K3240" t="s">
        <v>180</v>
      </c>
      <c r="L3240">
        <v>200064500</v>
      </c>
    </row>
    <row r="3241" spans="3:12">
      <c r="C3241">
        <v>2100300025</v>
      </c>
      <c r="D3241">
        <v>6426000</v>
      </c>
      <c r="E3241" t="s">
        <v>188</v>
      </c>
      <c r="F3241">
        <v>5210010105</v>
      </c>
      <c r="G3241" s="13">
        <v>26000</v>
      </c>
      <c r="I3241" t="s">
        <v>179</v>
      </c>
      <c r="J3241" t="s">
        <v>935</v>
      </c>
      <c r="K3241" t="s">
        <v>180</v>
      </c>
      <c r="L3241">
        <v>200053396</v>
      </c>
    </row>
    <row r="3242" spans="3:12">
      <c r="C3242">
        <v>2100300025</v>
      </c>
      <c r="D3242">
        <v>6426000</v>
      </c>
      <c r="E3242" t="s">
        <v>188</v>
      </c>
      <c r="F3242">
        <v>5210010105</v>
      </c>
      <c r="G3242" s="13">
        <v>238180</v>
      </c>
      <c r="I3242" t="s">
        <v>179</v>
      </c>
      <c r="J3242" t="s">
        <v>935</v>
      </c>
      <c r="K3242" t="s">
        <v>180</v>
      </c>
      <c r="L3242">
        <v>200053397</v>
      </c>
    </row>
    <row r="3243" spans="3:12">
      <c r="C3243">
        <v>2100300025</v>
      </c>
      <c r="D3243">
        <v>6426000</v>
      </c>
      <c r="E3243" t="s">
        <v>188</v>
      </c>
      <c r="F3243">
        <v>5210010105</v>
      </c>
      <c r="G3243" s="13">
        <v>7873</v>
      </c>
      <c r="I3243" t="s">
        <v>179</v>
      </c>
      <c r="J3243" t="s">
        <v>935</v>
      </c>
      <c r="K3243" t="s">
        <v>180</v>
      </c>
      <c r="L3243">
        <v>200063872</v>
      </c>
    </row>
    <row r="3244" spans="3:12">
      <c r="C3244">
        <v>2100300025</v>
      </c>
      <c r="D3244">
        <v>6426000</v>
      </c>
      <c r="E3244" t="s">
        <v>188</v>
      </c>
      <c r="F3244">
        <v>5210010105</v>
      </c>
      <c r="G3244" s="13">
        <v>2461</v>
      </c>
      <c r="I3244" t="s">
        <v>179</v>
      </c>
      <c r="J3244" t="s">
        <v>836</v>
      </c>
      <c r="K3244" t="s">
        <v>180</v>
      </c>
      <c r="L3244">
        <v>200061421</v>
      </c>
    </row>
    <row r="3245" spans="3:12">
      <c r="C3245">
        <v>2100300025</v>
      </c>
      <c r="D3245">
        <v>6426000</v>
      </c>
      <c r="E3245" t="s">
        <v>188</v>
      </c>
      <c r="F3245">
        <v>5210010105</v>
      </c>
      <c r="G3245" s="13">
        <v>25820</v>
      </c>
      <c r="I3245" t="s">
        <v>179</v>
      </c>
      <c r="J3245" t="s">
        <v>837</v>
      </c>
      <c r="K3245" t="s">
        <v>180</v>
      </c>
      <c r="L3245">
        <v>200053360</v>
      </c>
    </row>
    <row r="3246" spans="3:12">
      <c r="C3246">
        <v>2100300025</v>
      </c>
      <c r="D3246">
        <v>6426000</v>
      </c>
      <c r="E3246" t="s">
        <v>188</v>
      </c>
      <c r="F3246">
        <v>5210010105</v>
      </c>
      <c r="G3246">
        <v>840</v>
      </c>
      <c r="I3246" t="s">
        <v>179</v>
      </c>
      <c r="J3246" t="s">
        <v>837</v>
      </c>
      <c r="K3246" t="s">
        <v>180</v>
      </c>
      <c r="L3246">
        <v>200053361</v>
      </c>
    </row>
    <row r="3247" spans="3:12">
      <c r="C3247">
        <v>2100300025</v>
      </c>
      <c r="D3247">
        <v>6426000</v>
      </c>
      <c r="E3247" t="s">
        <v>188</v>
      </c>
      <c r="F3247">
        <v>5210010105</v>
      </c>
      <c r="G3247" s="13">
        <v>3600</v>
      </c>
      <c r="I3247" t="s">
        <v>179</v>
      </c>
      <c r="J3247" t="s">
        <v>837</v>
      </c>
      <c r="K3247" t="s">
        <v>180</v>
      </c>
      <c r="L3247">
        <v>200053362</v>
      </c>
    </row>
    <row r="3248" spans="3:12">
      <c r="C3248">
        <v>2100300025</v>
      </c>
      <c r="D3248">
        <v>6426000</v>
      </c>
      <c r="E3248" t="s">
        <v>188</v>
      </c>
      <c r="F3248">
        <v>5210010105</v>
      </c>
      <c r="G3248" s="13">
        <v>4380</v>
      </c>
      <c r="I3248" t="s">
        <v>179</v>
      </c>
      <c r="J3248" t="s">
        <v>936</v>
      </c>
      <c r="K3248" t="s">
        <v>180</v>
      </c>
      <c r="L3248">
        <v>200063684</v>
      </c>
    </row>
    <row r="3249" spans="3:12">
      <c r="C3249">
        <v>2100300025</v>
      </c>
      <c r="D3249">
        <v>6426000</v>
      </c>
      <c r="E3249" t="s">
        <v>188</v>
      </c>
      <c r="F3249">
        <v>5210010105</v>
      </c>
      <c r="G3249" s="13">
        <v>3864</v>
      </c>
      <c r="I3249" t="s">
        <v>179</v>
      </c>
      <c r="J3249" t="s">
        <v>937</v>
      </c>
      <c r="K3249" t="s">
        <v>180</v>
      </c>
      <c r="L3249">
        <v>200063664</v>
      </c>
    </row>
    <row r="3250" spans="3:12">
      <c r="C3250">
        <v>2100300025</v>
      </c>
      <c r="D3250">
        <v>6426000</v>
      </c>
      <c r="E3250" t="s">
        <v>188</v>
      </c>
      <c r="F3250">
        <v>5210010105</v>
      </c>
      <c r="G3250" s="13">
        <v>2247</v>
      </c>
      <c r="I3250" t="s">
        <v>179</v>
      </c>
      <c r="J3250" t="s">
        <v>937</v>
      </c>
      <c r="K3250" t="s">
        <v>180</v>
      </c>
      <c r="L3250">
        <v>200064004</v>
      </c>
    </row>
    <row r="3251" spans="3:12">
      <c r="C3251">
        <v>2100300025</v>
      </c>
      <c r="D3251">
        <v>6426000</v>
      </c>
      <c r="E3251" t="s">
        <v>188</v>
      </c>
      <c r="F3251">
        <v>5210010105</v>
      </c>
      <c r="G3251" s="13">
        <v>2503.8000000000002</v>
      </c>
      <c r="I3251" t="s">
        <v>179</v>
      </c>
      <c r="J3251" t="s">
        <v>938</v>
      </c>
      <c r="K3251" t="s">
        <v>180</v>
      </c>
      <c r="L3251">
        <v>200066627</v>
      </c>
    </row>
    <row r="3252" spans="3:12">
      <c r="C3252">
        <v>2100300025</v>
      </c>
      <c r="D3252">
        <v>6426000</v>
      </c>
      <c r="E3252" t="s">
        <v>188</v>
      </c>
      <c r="F3252">
        <v>5210010105</v>
      </c>
      <c r="G3252" s="13">
        <v>16050</v>
      </c>
      <c r="I3252" t="s">
        <v>179</v>
      </c>
      <c r="J3252" t="s">
        <v>938</v>
      </c>
      <c r="K3252" t="s">
        <v>180</v>
      </c>
      <c r="L3252">
        <v>200066628</v>
      </c>
    </row>
    <row r="3253" spans="3:12">
      <c r="C3253">
        <v>2100300025</v>
      </c>
      <c r="D3253">
        <v>6426000</v>
      </c>
      <c r="E3253" t="s">
        <v>188</v>
      </c>
      <c r="F3253">
        <v>5210010105</v>
      </c>
      <c r="G3253" s="13">
        <v>2960</v>
      </c>
      <c r="I3253" t="s">
        <v>179</v>
      </c>
      <c r="J3253" t="s">
        <v>938</v>
      </c>
      <c r="K3253" t="s">
        <v>180</v>
      </c>
      <c r="L3253">
        <v>200066556</v>
      </c>
    </row>
    <row r="3254" spans="3:12">
      <c r="C3254">
        <v>2100300025</v>
      </c>
      <c r="D3254">
        <v>6426000</v>
      </c>
      <c r="E3254" t="s">
        <v>188</v>
      </c>
      <c r="F3254">
        <v>5210010105</v>
      </c>
      <c r="G3254" s="13">
        <v>4155.6000000000004</v>
      </c>
      <c r="I3254" t="s">
        <v>179</v>
      </c>
      <c r="J3254" t="s">
        <v>938</v>
      </c>
      <c r="K3254" t="s">
        <v>180</v>
      </c>
      <c r="L3254">
        <v>200066557</v>
      </c>
    </row>
    <row r="3255" spans="3:12">
      <c r="C3255">
        <v>2100300025</v>
      </c>
      <c r="D3255">
        <v>6426000</v>
      </c>
      <c r="E3255" t="s">
        <v>188</v>
      </c>
      <c r="F3255">
        <v>5210010105</v>
      </c>
      <c r="G3255" s="13">
        <v>48984</v>
      </c>
      <c r="I3255" t="s">
        <v>179</v>
      </c>
      <c r="J3255" t="s">
        <v>938</v>
      </c>
      <c r="K3255" t="s">
        <v>180</v>
      </c>
      <c r="L3255">
        <v>200065306</v>
      </c>
    </row>
    <row r="3256" spans="3:12">
      <c r="C3256">
        <v>2100300025</v>
      </c>
      <c r="D3256">
        <v>6426000</v>
      </c>
      <c r="E3256" t="s">
        <v>188</v>
      </c>
      <c r="F3256">
        <v>5210010105</v>
      </c>
      <c r="G3256" s="13">
        <v>1495</v>
      </c>
      <c r="I3256" t="s">
        <v>179</v>
      </c>
      <c r="J3256" t="s">
        <v>932</v>
      </c>
      <c r="K3256" t="s">
        <v>180</v>
      </c>
      <c r="L3256">
        <v>200059936</v>
      </c>
    </row>
    <row r="3257" spans="3:12">
      <c r="C3257">
        <v>2100300025</v>
      </c>
      <c r="D3257">
        <v>6426000</v>
      </c>
      <c r="E3257" t="s">
        <v>188</v>
      </c>
      <c r="F3257">
        <v>5210010105</v>
      </c>
      <c r="G3257" s="13">
        <v>25000</v>
      </c>
      <c r="I3257" t="s">
        <v>179</v>
      </c>
      <c r="J3257" t="s">
        <v>834</v>
      </c>
      <c r="K3257" t="s">
        <v>180</v>
      </c>
      <c r="L3257">
        <v>200058826</v>
      </c>
    </row>
    <row r="3258" spans="3:12">
      <c r="C3258">
        <v>2100300025</v>
      </c>
      <c r="D3258">
        <v>6426000</v>
      </c>
      <c r="E3258" t="s">
        <v>188</v>
      </c>
      <c r="F3258">
        <v>5210010105</v>
      </c>
      <c r="G3258" s="13">
        <v>13739</v>
      </c>
      <c r="I3258" t="s">
        <v>179</v>
      </c>
      <c r="J3258" t="s">
        <v>837</v>
      </c>
      <c r="K3258" t="s">
        <v>180</v>
      </c>
      <c r="L3258">
        <v>200058776</v>
      </c>
    </row>
    <row r="3259" spans="3:12">
      <c r="C3259">
        <v>2100300025</v>
      </c>
      <c r="D3259">
        <v>6426000</v>
      </c>
      <c r="E3259" t="s">
        <v>188</v>
      </c>
      <c r="F3259">
        <v>5210010105</v>
      </c>
      <c r="G3259" s="13">
        <v>2000</v>
      </c>
      <c r="I3259" t="s">
        <v>179</v>
      </c>
      <c r="J3259" t="s">
        <v>938</v>
      </c>
      <c r="K3259" t="s">
        <v>180</v>
      </c>
      <c r="L3259">
        <v>200065716</v>
      </c>
    </row>
    <row r="3260" spans="3:12">
      <c r="C3260">
        <v>2100300025</v>
      </c>
      <c r="D3260">
        <v>6426000</v>
      </c>
      <c r="E3260" t="s">
        <v>188</v>
      </c>
      <c r="F3260">
        <v>5210010105</v>
      </c>
      <c r="G3260" s="13">
        <v>5231</v>
      </c>
      <c r="I3260" t="s">
        <v>179</v>
      </c>
      <c r="J3260" t="s">
        <v>938</v>
      </c>
      <c r="K3260" t="s">
        <v>180</v>
      </c>
      <c r="L3260">
        <v>200066506</v>
      </c>
    </row>
    <row r="3261" spans="3:12">
      <c r="C3261">
        <v>2100300025</v>
      </c>
      <c r="D3261">
        <v>6426000</v>
      </c>
      <c r="E3261" t="s">
        <v>188</v>
      </c>
      <c r="F3261">
        <v>5210010105</v>
      </c>
      <c r="G3261" s="13">
        <v>1246937.42</v>
      </c>
      <c r="I3261" t="s">
        <v>179</v>
      </c>
      <c r="J3261" t="s">
        <v>561</v>
      </c>
      <c r="K3261" t="s">
        <v>180</v>
      </c>
      <c r="L3261">
        <v>200071509</v>
      </c>
    </row>
    <row r="3262" spans="3:12">
      <c r="C3262">
        <v>2100300025</v>
      </c>
      <c r="D3262">
        <v>6426000</v>
      </c>
      <c r="E3262" t="s">
        <v>188</v>
      </c>
      <c r="F3262">
        <v>5210010105</v>
      </c>
      <c r="G3262" s="13">
        <v>59536</v>
      </c>
      <c r="I3262" t="s">
        <v>179</v>
      </c>
      <c r="J3262" t="s">
        <v>561</v>
      </c>
      <c r="K3262" t="s">
        <v>180</v>
      </c>
      <c r="L3262">
        <v>200071510</v>
      </c>
    </row>
    <row r="3263" spans="3:12">
      <c r="C3263">
        <v>2100300025</v>
      </c>
      <c r="D3263">
        <v>6426000</v>
      </c>
      <c r="E3263" t="s">
        <v>188</v>
      </c>
      <c r="F3263">
        <v>5210010105</v>
      </c>
      <c r="G3263" s="13">
        <v>17089.2</v>
      </c>
      <c r="I3263" t="s">
        <v>179</v>
      </c>
      <c r="J3263" t="s">
        <v>561</v>
      </c>
      <c r="K3263" t="s">
        <v>180</v>
      </c>
      <c r="L3263">
        <v>200071511</v>
      </c>
    </row>
    <row r="3264" spans="3:12">
      <c r="C3264">
        <v>2100300025</v>
      </c>
      <c r="D3264">
        <v>6426000</v>
      </c>
      <c r="E3264" t="s">
        <v>188</v>
      </c>
      <c r="F3264">
        <v>5210010105</v>
      </c>
      <c r="G3264" s="13">
        <v>3800</v>
      </c>
      <c r="I3264" t="s">
        <v>179</v>
      </c>
      <c r="J3264" t="s">
        <v>561</v>
      </c>
      <c r="K3264" t="s">
        <v>180</v>
      </c>
      <c r="L3264">
        <v>200068945</v>
      </c>
    </row>
    <row r="3265" spans="3:12">
      <c r="C3265">
        <v>2100300025</v>
      </c>
      <c r="D3265">
        <v>6426000</v>
      </c>
      <c r="E3265" t="s">
        <v>188</v>
      </c>
      <c r="F3265">
        <v>5210010105</v>
      </c>
      <c r="G3265" s="13">
        <v>4000</v>
      </c>
      <c r="I3265" t="s">
        <v>179</v>
      </c>
      <c r="J3265" t="s">
        <v>561</v>
      </c>
      <c r="K3265" t="s">
        <v>180</v>
      </c>
      <c r="L3265">
        <v>200070658</v>
      </c>
    </row>
    <row r="3266" spans="3:12">
      <c r="C3266">
        <v>2100300025</v>
      </c>
      <c r="D3266">
        <v>6426000</v>
      </c>
      <c r="E3266" t="s">
        <v>188</v>
      </c>
      <c r="F3266">
        <v>5210010105</v>
      </c>
      <c r="G3266" s="13">
        <v>3500</v>
      </c>
      <c r="I3266" t="s">
        <v>179</v>
      </c>
      <c r="J3266" t="s">
        <v>939</v>
      </c>
      <c r="K3266" t="s">
        <v>180</v>
      </c>
      <c r="L3266">
        <v>200069222</v>
      </c>
    </row>
    <row r="3267" spans="3:12">
      <c r="C3267">
        <v>2100300025</v>
      </c>
      <c r="D3267">
        <v>6426000</v>
      </c>
      <c r="E3267" t="s">
        <v>188</v>
      </c>
      <c r="F3267">
        <v>5210010105</v>
      </c>
      <c r="G3267" s="13">
        <v>2400</v>
      </c>
      <c r="I3267" t="s">
        <v>179</v>
      </c>
      <c r="J3267" t="s">
        <v>939</v>
      </c>
      <c r="K3267" t="s">
        <v>180</v>
      </c>
      <c r="L3267">
        <v>200069358</v>
      </c>
    </row>
    <row r="3268" spans="3:12">
      <c r="C3268">
        <v>2100300025</v>
      </c>
      <c r="D3268">
        <v>6426000</v>
      </c>
      <c r="E3268" t="s">
        <v>188</v>
      </c>
      <c r="F3268">
        <v>5210010105</v>
      </c>
      <c r="G3268" s="13">
        <v>3800</v>
      </c>
      <c r="I3268" t="s">
        <v>179</v>
      </c>
      <c r="J3268" t="s">
        <v>939</v>
      </c>
      <c r="K3268" t="s">
        <v>180</v>
      </c>
      <c r="L3268">
        <v>200068357</v>
      </c>
    </row>
    <row r="3269" spans="3:12">
      <c r="C3269">
        <v>2100300025</v>
      </c>
      <c r="D3269">
        <v>6426000</v>
      </c>
      <c r="E3269" t="s">
        <v>188</v>
      </c>
      <c r="F3269">
        <v>5210010105</v>
      </c>
      <c r="G3269" s="13">
        <v>3300</v>
      </c>
      <c r="I3269" t="s">
        <v>179</v>
      </c>
      <c r="J3269" t="s">
        <v>939</v>
      </c>
      <c r="K3269" t="s">
        <v>180</v>
      </c>
      <c r="L3269">
        <v>200068358</v>
      </c>
    </row>
    <row r="3270" spans="3:12">
      <c r="C3270">
        <v>2100300025</v>
      </c>
      <c r="D3270">
        <v>6426000</v>
      </c>
      <c r="E3270" t="s">
        <v>188</v>
      </c>
      <c r="F3270">
        <v>5210010105</v>
      </c>
      <c r="G3270" s="13">
        <v>4700</v>
      </c>
      <c r="I3270" t="s">
        <v>179</v>
      </c>
      <c r="J3270" t="s">
        <v>939</v>
      </c>
      <c r="K3270" t="s">
        <v>180</v>
      </c>
      <c r="L3270">
        <v>200069224</v>
      </c>
    </row>
    <row r="3271" spans="3:12">
      <c r="C3271">
        <v>2100300025</v>
      </c>
      <c r="D3271">
        <v>6426000</v>
      </c>
      <c r="E3271" t="s">
        <v>188</v>
      </c>
      <c r="F3271">
        <v>5210010105</v>
      </c>
      <c r="G3271" s="13">
        <v>1075</v>
      </c>
      <c r="I3271" t="s">
        <v>179</v>
      </c>
      <c r="J3271" t="s">
        <v>939</v>
      </c>
      <c r="K3271" t="s">
        <v>180</v>
      </c>
      <c r="L3271">
        <v>200069225</v>
      </c>
    </row>
    <row r="3272" spans="3:12">
      <c r="C3272">
        <v>2100300025</v>
      </c>
      <c r="D3272">
        <v>6426000</v>
      </c>
      <c r="E3272" t="s">
        <v>188</v>
      </c>
      <c r="F3272">
        <v>5210010105</v>
      </c>
      <c r="G3272" s="13">
        <v>2675</v>
      </c>
      <c r="I3272" t="s">
        <v>179</v>
      </c>
      <c r="J3272" t="s">
        <v>939</v>
      </c>
      <c r="K3272" t="s">
        <v>180</v>
      </c>
      <c r="L3272">
        <v>200058483</v>
      </c>
    </row>
    <row r="3273" spans="3:12">
      <c r="C3273">
        <v>2100300025</v>
      </c>
      <c r="D3273">
        <v>6426000</v>
      </c>
      <c r="E3273" t="s">
        <v>188</v>
      </c>
      <c r="F3273">
        <v>5210010105</v>
      </c>
      <c r="G3273" s="13">
        <v>7683.93</v>
      </c>
      <c r="I3273" t="s">
        <v>179</v>
      </c>
      <c r="J3273" t="s">
        <v>939</v>
      </c>
      <c r="K3273" t="s">
        <v>180</v>
      </c>
      <c r="L3273">
        <v>200068633</v>
      </c>
    </row>
    <row r="3274" spans="3:12">
      <c r="C3274">
        <v>2100300025</v>
      </c>
      <c r="D3274">
        <v>6426000</v>
      </c>
      <c r="E3274" t="s">
        <v>188</v>
      </c>
      <c r="F3274">
        <v>5210010105</v>
      </c>
      <c r="G3274" s="13">
        <v>2760</v>
      </c>
      <c r="I3274" t="s">
        <v>179</v>
      </c>
      <c r="J3274" t="s">
        <v>939</v>
      </c>
      <c r="K3274" t="s">
        <v>180</v>
      </c>
      <c r="L3274">
        <v>200068481</v>
      </c>
    </row>
    <row r="3275" spans="3:12">
      <c r="C3275">
        <v>2100300025</v>
      </c>
      <c r="D3275">
        <v>6426000</v>
      </c>
      <c r="E3275" t="s">
        <v>188</v>
      </c>
      <c r="F3275">
        <v>5210010105</v>
      </c>
      <c r="G3275">
        <v>600</v>
      </c>
      <c r="I3275" t="s">
        <v>179</v>
      </c>
      <c r="J3275" t="s">
        <v>939</v>
      </c>
      <c r="K3275" t="s">
        <v>180</v>
      </c>
      <c r="L3275">
        <v>200069720</v>
      </c>
    </row>
    <row r="3276" spans="3:12">
      <c r="C3276">
        <v>2100300025</v>
      </c>
      <c r="D3276">
        <v>6426000</v>
      </c>
      <c r="E3276" t="s">
        <v>188</v>
      </c>
      <c r="F3276">
        <v>5210010105</v>
      </c>
      <c r="G3276" s="13">
        <v>3000</v>
      </c>
      <c r="I3276" t="s">
        <v>179</v>
      </c>
      <c r="J3276" t="s">
        <v>939</v>
      </c>
      <c r="K3276" t="s">
        <v>180</v>
      </c>
      <c r="L3276">
        <v>200069721</v>
      </c>
    </row>
    <row r="3277" spans="3:12">
      <c r="C3277">
        <v>2100300025</v>
      </c>
      <c r="D3277">
        <v>6426000</v>
      </c>
      <c r="E3277" t="s">
        <v>188</v>
      </c>
      <c r="F3277">
        <v>5210010105</v>
      </c>
      <c r="G3277" s="13">
        <v>1636</v>
      </c>
      <c r="I3277" t="s">
        <v>179</v>
      </c>
      <c r="J3277" t="s">
        <v>939</v>
      </c>
      <c r="K3277" t="s">
        <v>180</v>
      </c>
      <c r="L3277">
        <v>200064087</v>
      </c>
    </row>
    <row r="3278" spans="3:12">
      <c r="C3278">
        <v>2100300025</v>
      </c>
      <c r="D3278">
        <v>6426000</v>
      </c>
      <c r="E3278" t="s">
        <v>188</v>
      </c>
      <c r="F3278">
        <v>5210010105</v>
      </c>
      <c r="G3278" s="13">
        <v>3870</v>
      </c>
      <c r="I3278" t="s">
        <v>179</v>
      </c>
      <c r="J3278" t="s">
        <v>940</v>
      </c>
      <c r="K3278" t="s">
        <v>180</v>
      </c>
      <c r="L3278">
        <v>200070798</v>
      </c>
    </row>
    <row r="3279" spans="3:12">
      <c r="C3279">
        <v>2100300025</v>
      </c>
      <c r="D3279">
        <v>6426000</v>
      </c>
      <c r="E3279" t="s">
        <v>188</v>
      </c>
      <c r="F3279">
        <v>5210010105</v>
      </c>
      <c r="G3279" s="13">
        <v>6420</v>
      </c>
      <c r="I3279" t="s">
        <v>179</v>
      </c>
      <c r="J3279" t="s">
        <v>939</v>
      </c>
      <c r="K3279" t="s">
        <v>180</v>
      </c>
      <c r="L3279">
        <v>200069467</v>
      </c>
    </row>
    <row r="3280" spans="3:12">
      <c r="C3280">
        <v>2100300025</v>
      </c>
      <c r="D3280">
        <v>6426000</v>
      </c>
      <c r="E3280" t="s">
        <v>188</v>
      </c>
      <c r="F3280">
        <v>5210010105</v>
      </c>
      <c r="G3280" s="13">
        <v>8025</v>
      </c>
      <c r="I3280" t="s">
        <v>179</v>
      </c>
      <c r="J3280" t="s">
        <v>939</v>
      </c>
      <c r="K3280" t="s">
        <v>180</v>
      </c>
      <c r="L3280">
        <v>200069049</v>
      </c>
    </row>
    <row r="3281" spans="3:12">
      <c r="C3281">
        <v>2100300025</v>
      </c>
      <c r="D3281">
        <v>6426000</v>
      </c>
      <c r="E3281" t="s">
        <v>188</v>
      </c>
      <c r="F3281">
        <v>5210010105</v>
      </c>
      <c r="G3281" s="13">
        <v>33700</v>
      </c>
      <c r="I3281" t="s">
        <v>179</v>
      </c>
      <c r="J3281" t="s">
        <v>940</v>
      </c>
      <c r="K3281" t="s">
        <v>180</v>
      </c>
      <c r="L3281">
        <v>200070127</v>
      </c>
    </row>
    <row r="3282" spans="3:12">
      <c r="C3282">
        <v>2100300025</v>
      </c>
      <c r="D3282">
        <v>6426000</v>
      </c>
      <c r="E3282" t="s">
        <v>188</v>
      </c>
      <c r="F3282">
        <v>5210010105</v>
      </c>
      <c r="G3282" s="13">
        <v>1224000</v>
      </c>
      <c r="I3282" t="s">
        <v>179</v>
      </c>
      <c r="J3282" t="s">
        <v>941</v>
      </c>
      <c r="K3282" t="s">
        <v>180</v>
      </c>
      <c r="L3282">
        <v>200070604</v>
      </c>
    </row>
    <row r="3283" spans="3:12">
      <c r="C3283">
        <v>2100300025</v>
      </c>
      <c r="D3283">
        <v>6426000</v>
      </c>
      <c r="E3283" t="s">
        <v>188</v>
      </c>
      <c r="F3283">
        <v>5210010105</v>
      </c>
      <c r="G3283" s="13">
        <v>4470</v>
      </c>
      <c r="I3283" t="s">
        <v>179</v>
      </c>
      <c r="J3283" t="s">
        <v>941</v>
      </c>
      <c r="K3283" t="s">
        <v>180</v>
      </c>
      <c r="L3283">
        <v>200069238</v>
      </c>
    </row>
    <row r="3284" spans="3:12">
      <c r="C3284">
        <v>2100300025</v>
      </c>
      <c r="D3284">
        <v>6426000</v>
      </c>
      <c r="E3284" t="s">
        <v>188</v>
      </c>
      <c r="F3284">
        <v>5210010105</v>
      </c>
      <c r="G3284" s="13">
        <v>1960</v>
      </c>
      <c r="I3284" t="s">
        <v>179</v>
      </c>
      <c r="J3284" t="s">
        <v>941</v>
      </c>
      <c r="K3284" t="s">
        <v>180</v>
      </c>
      <c r="L3284">
        <v>200070605</v>
      </c>
    </row>
    <row r="3285" spans="3:12">
      <c r="C3285">
        <v>2100300025</v>
      </c>
      <c r="D3285">
        <v>6426000</v>
      </c>
      <c r="E3285" t="s">
        <v>188</v>
      </c>
      <c r="F3285">
        <v>5210010105</v>
      </c>
      <c r="G3285" s="13">
        <v>238220.87</v>
      </c>
      <c r="I3285" t="s">
        <v>179</v>
      </c>
      <c r="J3285" t="s">
        <v>941</v>
      </c>
      <c r="K3285" t="s">
        <v>180</v>
      </c>
      <c r="L3285">
        <v>200069239</v>
      </c>
    </row>
    <row r="3286" spans="3:12">
      <c r="C3286">
        <v>2100300025</v>
      </c>
      <c r="D3286">
        <v>6426000</v>
      </c>
      <c r="E3286" t="s">
        <v>188</v>
      </c>
      <c r="F3286">
        <v>5210010105</v>
      </c>
      <c r="G3286" s="13">
        <v>66068.820000000007</v>
      </c>
      <c r="I3286" t="s">
        <v>179</v>
      </c>
      <c r="J3286" t="s">
        <v>941</v>
      </c>
      <c r="K3286" t="s">
        <v>180</v>
      </c>
      <c r="L3286">
        <v>200070527</v>
      </c>
    </row>
    <row r="3287" spans="3:12">
      <c r="C3287">
        <v>2100300025</v>
      </c>
      <c r="D3287">
        <v>6426000</v>
      </c>
      <c r="E3287" t="s">
        <v>188</v>
      </c>
      <c r="F3287">
        <v>5210010105</v>
      </c>
      <c r="G3287">
        <v>900</v>
      </c>
      <c r="I3287" t="s">
        <v>179</v>
      </c>
      <c r="J3287" t="s">
        <v>941</v>
      </c>
      <c r="K3287" t="s">
        <v>180</v>
      </c>
      <c r="L3287">
        <v>200069240</v>
      </c>
    </row>
    <row r="3288" spans="3:12">
      <c r="C3288">
        <v>2100300025</v>
      </c>
      <c r="D3288">
        <v>6426000</v>
      </c>
      <c r="E3288" t="s">
        <v>188</v>
      </c>
      <c r="F3288">
        <v>5210010105</v>
      </c>
      <c r="G3288">
        <v>125</v>
      </c>
      <c r="I3288" t="s">
        <v>179</v>
      </c>
      <c r="J3288" t="s">
        <v>941</v>
      </c>
      <c r="K3288" t="s">
        <v>180</v>
      </c>
      <c r="L3288">
        <v>200069241</v>
      </c>
    </row>
    <row r="3289" spans="3:12">
      <c r="C3289">
        <v>2100300025</v>
      </c>
      <c r="D3289">
        <v>6426000</v>
      </c>
      <c r="E3289" t="s">
        <v>188</v>
      </c>
      <c r="F3289">
        <v>5210010105</v>
      </c>
      <c r="G3289" s="13">
        <v>80630</v>
      </c>
      <c r="I3289" t="s">
        <v>179</v>
      </c>
      <c r="J3289" t="s">
        <v>941</v>
      </c>
      <c r="K3289" t="s">
        <v>180</v>
      </c>
      <c r="L3289">
        <v>200069242</v>
      </c>
    </row>
    <row r="3290" spans="3:12">
      <c r="C3290">
        <v>2100300025</v>
      </c>
      <c r="D3290">
        <v>6426000</v>
      </c>
      <c r="E3290" t="s">
        <v>188</v>
      </c>
      <c r="F3290">
        <v>5210010105</v>
      </c>
      <c r="G3290" s="13">
        <v>44298</v>
      </c>
      <c r="I3290" t="s">
        <v>179</v>
      </c>
      <c r="J3290" t="s">
        <v>941</v>
      </c>
      <c r="K3290" t="s">
        <v>180</v>
      </c>
      <c r="L3290">
        <v>200069243</v>
      </c>
    </row>
    <row r="3291" spans="3:12">
      <c r="C3291">
        <v>2100300025</v>
      </c>
      <c r="D3291">
        <v>6426000</v>
      </c>
      <c r="E3291" t="s">
        <v>188</v>
      </c>
      <c r="F3291">
        <v>5210010105</v>
      </c>
      <c r="G3291" s="13">
        <v>2700</v>
      </c>
      <c r="I3291" t="s">
        <v>179</v>
      </c>
      <c r="J3291" t="s">
        <v>941</v>
      </c>
      <c r="K3291" t="s">
        <v>180</v>
      </c>
      <c r="L3291">
        <v>200070422</v>
      </c>
    </row>
    <row r="3292" spans="3:12">
      <c r="C3292">
        <v>2100300025</v>
      </c>
      <c r="D3292">
        <v>6426000</v>
      </c>
      <c r="E3292" t="s">
        <v>188</v>
      </c>
      <c r="F3292">
        <v>5210010105</v>
      </c>
      <c r="G3292" s="13">
        <v>3210</v>
      </c>
      <c r="I3292" t="s">
        <v>179</v>
      </c>
      <c r="J3292" t="s">
        <v>941</v>
      </c>
      <c r="K3292" t="s">
        <v>180</v>
      </c>
      <c r="L3292">
        <v>200070118</v>
      </c>
    </row>
    <row r="3293" spans="3:12">
      <c r="C3293">
        <v>2100300025</v>
      </c>
      <c r="D3293">
        <v>6426000</v>
      </c>
      <c r="E3293" t="s">
        <v>188</v>
      </c>
      <c r="F3293">
        <v>5210010105</v>
      </c>
      <c r="G3293" s="13">
        <v>31500</v>
      </c>
      <c r="I3293" t="s">
        <v>179</v>
      </c>
      <c r="J3293" t="s">
        <v>941</v>
      </c>
      <c r="K3293" t="s">
        <v>180</v>
      </c>
      <c r="L3293">
        <v>200070739</v>
      </c>
    </row>
    <row r="3294" spans="3:12">
      <c r="C3294">
        <v>2100300025</v>
      </c>
      <c r="D3294">
        <v>6426000</v>
      </c>
      <c r="E3294" t="s">
        <v>188</v>
      </c>
      <c r="F3294">
        <v>5210010105</v>
      </c>
      <c r="G3294" s="13">
        <v>13364</v>
      </c>
      <c r="I3294" t="s">
        <v>179</v>
      </c>
      <c r="J3294" t="s">
        <v>941</v>
      </c>
      <c r="K3294" t="s">
        <v>180</v>
      </c>
      <c r="L3294">
        <v>200070435</v>
      </c>
    </row>
    <row r="3295" spans="3:12">
      <c r="C3295">
        <v>2100300025</v>
      </c>
      <c r="D3295">
        <v>6426000</v>
      </c>
      <c r="E3295" t="s">
        <v>188</v>
      </c>
      <c r="F3295">
        <v>5210010105</v>
      </c>
      <c r="G3295" s="13">
        <v>7500</v>
      </c>
      <c r="I3295" t="s">
        <v>179</v>
      </c>
      <c r="J3295" t="s">
        <v>841</v>
      </c>
      <c r="K3295" t="s">
        <v>180</v>
      </c>
      <c r="L3295">
        <v>200074228</v>
      </c>
    </row>
    <row r="3296" spans="3:12">
      <c r="C3296">
        <v>2100300025</v>
      </c>
      <c r="D3296">
        <v>6426000</v>
      </c>
      <c r="E3296" t="s">
        <v>188</v>
      </c>
      <c r="F3296">
        <v>5210010105</v>
      </c>
      <c r="G3296" s="13">
        <v>4630.3</v>
      </c>
      <c r="I3296" t="s">
        <v>179</v>
      </c>
      <c r="J3296" t="s">
        <v>841</v>
      </c>
      <c r="K3296" t="s">
        <v>180</v>
      </c>
      <c r="L3296">
        <v>200074229</v>
      </c>
    </row>
    <row r="3297" spans="3:12">
      <c r="C3297">
        <v>2100300025</v>
      </c>
      <c r="D3297">
        <v>6426000</v>
      </c>
      <c r="E3297" t="s">
        <v>188</v>
      </c>
      <c r="F3297">
        <v>5210010105</v>
      </c>
      <c r="G3297" s="13">
        <v>77500</v>
      </c>
      <c r="I3297" t="s">
        <v>179</v>
      </c>
      <c r="J3297" t="s">
        <v>841</v>
      </c>
      <c r="K3297" t="s">
        <v>180</v>
      </c>
      <c r="L3297">
        <v>200074230</v>
      </c>
    </row>
    <row r="3298" spans="3:12">
      <c r="C3298">
        <v>2100300025</v>
      </c>
      <c r="D3298">
        <v>6426000</v>
      </c>
      <c r="E3298" t="s">
        <v>188</v>
      </c>
      <c r="F3298">
        <v>5210010105</v>
      </c>
      <c r="G3298" s="13">
        <v>1000</v>
      </c>
      <c r="I3298" t="s">
        <v>179</v>
      </c>
      <c r="J3298" t="s">
        <v>841</v>
      </c>
      <c r="K3298" t="s">
        <v>180</v>
      </c>
      <c r="L3298">
        <v>200074235</v>
      </c>
    </row>
    <row r="3299" spans="3:12">
      <c r="C3299">
        <v>2100300025</v>
      </c>
      <c r="D3299">
        <v>6426000</v>
      </c>
      <c r="E3299" t="s">
        <v>188</v>
      </c>
      <c r="F3299">
        <v>5210010105</v>
      </c>
      <c r="G3299" s="13">
        <v>36500</v>
      </c>
      <c r="I3299" t="s">
        <v>179</v>
      </c>
      <c r="J3299" t="s">
        <v>942</v>
      </c>
      <c r="K3299" t="s">
        <v>180</v>
      </c>
      <c r="L3299">
        <v>200070047</v>
      </c>
    </row>
    <row r="3300" spans="3:12">
      <c r="C3300">
        <v>2100300025</v>
      </c>
      <c r="D3300">
        <v>6426000</v>
      </c>
      <c r="E3300" t="s">
        <v>188</v>
      </c>
      <c r="F3300">
        <v>5210010105</v>
      </c>
      <c r="G3300">
        <v>750</v>
      </c>
      <c r="I3300" t="s">
        <v>179</v>
      </c>
      <c r="J3300" t="s">
        <v>942</v>
      </c>
      <c r="K3300" t="s">
        <v>180</v>
      </c>
      <c r="L3300">
        <v>200070048</v>
      </c>
    </row>
    <row r="3301" spans="3:12">
      <c r="C3301">
        <v>2100300025</v>
      </c>
      <c r="D3301">
        <v>6426000</v>
      </c>
      <c r="E3301" t="s">
        <v>188</v>
      </c>
      <c r="F3301">
        <v>5210010105</v>
      </c>
      <c r="G3301" s="13">
        <v>36000</v>
      </c>
      <c r="I3301" t="s">
        <v>179</v>
      </c>
      <c r="J3301" t="s">
        <v>942</v>
      </c>
      <c r="K3301" t="s">
        <v>180</v>
      </c>
      <c r="L3301">
        <v>200070049</v>
      </c>
    </row>
    <row r="3302" spans="3:12">
      <c r="C3302">
        <v>2100300025</v>
      </c>
      <c r="D3302">
        <v>6426000</v>
      </c>
      <c r="E3302" t="s">
        <v>188</v>
      </c>
      <c r="F3302">
        <v>5210010105</v>
      </c>
      <c r="G3302" s="13">
        <v>26000</v>
      </c>
      <c r="I3302" t="s">
        <v>179</v>
      </c>
      <c r="J3302" t="s">
        <v>942</v>
      </c>
      <c r="K3302" t="s">
        <v>180</v>
      </c>
      <c r="L3302">
        <v>200065121</v>
      </c>
    </row>
    <row r="3303" spans="3:12">
      <c r="C3303">
        <v>2100300025</v>
      </c>
      <c r="D3303">
        <v>6426000</v>
      </c>
      <c r="E3303" t="s">
        <v>188</v>
      </c>
      <c r="F3303">
        <v>5210010105</v>
      </c>
      <c r="G3303" s="13">
        <v>16000</v>
      </c>
      <c r="I3303" t="s">
        <v>179</v>
      </c>
      <c r="J3303" t="s">
        <v>942</v>
      </c>
      <c r="K3303" t="s">
        <v>180</v>
      </c>
      <c r="L3303">
        <v>200065339</v>
      </c>
    </row>
    <row r="3304" spans="3:12">
      <c r="C3304">
        <v>2100300025</v>
      </c>
      <c r="D3304">
        <v>6426000</v>
      </c>
      <c r="E3304" t="s">
        <v>188</v>
      </c>
      <c r="F3304">
        <v>5210010105</v>
      </c>
      <c r="G3304" s="13">
        <v>1148</v>
      </c>
      <c r="I3304" t="s">
        <v>179</v>
      </c>
      <c r="J3304" t="s">
        <v>942</v>
      </c>
      <c r="K3304" t="s">
        <v>180</v>
      </c>
      <c r="L3304">
        <v>200069953</v>
      </c>
    </row>
    <row r="3305" spans="3:12">
      <c r="C3305">
        <v>2100300025</v>
      </c>
      <c r="D3305">
        <v>6426000</v>
      </c>
      <c r="E3305" t="s">
        <v>188</v>
      </c>
      <c r="F3305">
        <v>5210010105</v>
      </c>
      <c r="G3305" s="13">
        <v>4494</v>
      </c>
      <c r="I3305" t="s">
        <v>179</v>
      </c>
      <c r="J3305" t="s">
        <v>942</v>
      </c>
      <c r="K3305" t="s">
        <v>180</v>
      </c>
      <c r="L3305">
        <v>200065340</v>
      </c>
    </row>
    <row r="3306" spans="3:12">
      <c r="C3306">
        <v>2100300025</v>
      </c>
      <c r="D3306">
        <v>6426000</v>
      </c>
      <c r="E3306" t="s">
        <v>188</v>
      </c>
      <c r="F3306">
        <v>5210010105</v>
      </c>
      <c r="G3306" s="13">
        <v>3000</v>
      </c>
      <c r="I3306" t="s">
        <v>179</v>
      </c>
      <c r="J3306" t="s">
        <v>942</v>
      </c>
      <c r="K3306" t="s">
        <v>180</v>
      </c>
      <c r="L3306">
        <v>200070057</v>
      </c>
    </row>
    <row r="3307" spans="3:12">
      <c r="C3307">
        <v>2100300025</v>
      </c>
      <c r="D3307">
        <v>6426000</v>
      </c>
      <c r="E3307" t="s">
        <v>188</v>
      </c>
      <c r="F3307">
        <v>5210010105</v>
      </c>
      <c r="G3307" s="13">
        <v>1500</v>
      </c>
      <c r="I3307" t="s">
        <v>179</v>
      </c>
      <c r="J3307" t="s">
        <v>942</v>
      </c>
      <c r="K3307" t="s">
        <v>180</v>
      </c>
      <c r="L3307">
        <v>200069977</v>
      </c>
    </row>
    <row r="3308" spans="3:12">
      <c r="C3308">
        <v>2100300025</v>
      </c>
      <c r="D3308">
        <v>6426000</v>
      </c>
      <c r="E3308" t="s">
        <v>188</v>
      </c>
      <c r="F3308">
        <v>5210010105</v>
      </c>
      <c r="G3308" s="13">
        <v>95979</v>
      </c>
      <c r="I3308" t="s">
        <v>179</v>
      </c>
      <c r="J3308" t="s">
        <v>942</v>
      </c>
      <c r="K3308" t="s">
        <v>180</v>
      </c>
      <c r="L3308">
        <v>200069979</v>
      </c>
    </row>
    <row r="3309" spans="3:12">
      <c r="C3309">
        <v>2100300025</v>
      </c>
      <c r="D3309">
        <v>6426000</v>
      </c>
      <c r="E3309" t="s">
        <v>188</v>
      </c>
      <c r="F3309">
        <v>5210010105</v>
      </c>
      <c r="G3309" s="13">
        <v>88703</v>
      </c>
      <c r="I3309" t="s">
        <v>179</v>
      </c>
      <c r="J3309" t="s">
        <v>942</v>
      </c>
      <c r="K3309" t="s">
        <v>180</v>
      </c>
      <c r="L3309">
        <v>200068674</v>
      </c>
    </row>
    <row r="3310" spans="3:12">
      <c r="C3310">
        <v>2100300025</v>
      </c>
      <c r="D3310">
        <v>6426000</v>
      </c>
      <c r="E3310" t="s">
        <v>188</v>
      </c>
      <c r="F3310">
        <v>5210010105</v>
      </c>
      <c r="G3310" s="13">
        <v>58903.5</v>
      </c>
      <c r="I3310" t="s">
        <v>179</v>
      </c>
      <c r="J3310" t="s">
        <v>938</v>
      </c>
      <c r="K3310" t="s">
        <v>180</v>
      </c>
      <c r="L3310">
        <v>200066507</v>
      </c>
    </row>
    <row r="3311" spans="3:12">
      <c r="C3311">
        <v>2100300025</v>
      </c>
      <c r="D3311">
        <v>6426000</v>
      </c>
      <c r="E3311" t="s">
        <v>188</v>
      </c>
      <c r="F3311">
        <v>5210010105</v>
      </c>
      <c r="G3311" s="13">
        <v>116000</v>
      </c>
      <c r="I3311" t="s">
        <v>179</v>
      </c>
      <c r="J3311" t="s">
        <v>929</v>
      </c>
      <c r="K3311" t="s">
        <v>180</v>
      </c>
      <c r="L3311">
        <v>200053805</v>
      </c>
    </row>
    <row r="3312" spans="3:12">
      <c r="C3312">
        <v>2100300025</v>
      </c>
      <c r="D3312">
        <v>6426000</v>
      </c>
      <c r="E3312" t="s">
        <v>188</v>
      </c>
      <c r="F3312">
        <v>5210010105</v>
      </c>
      <c r="G3312">
        <v>556.38</v>
      </c>
      <c r="I3312" t="s">
        <v>179</v>
      </c>
      <c r="J3312" t="s">
        <v>929</v>
      </c>
      <c r="K3312" t="s">
        <v>180</v>
      </c>
      <c r="L3312">
        <v>200053568</v>
      </c>
    </row>
    <row r="3313" spans="3:12">
      <c r="C3313">
        <v>2100300025</v>
      </c>
      <c r="D3313">
        <v>6426000</v>
      </c>
      <c r="E3313" t="s">
        <v>188</v>
      </c>
      <c r="F3313">
        <v>5210010105</v>
      </c>
      <c r="G3313" s="13">
        <v>16232.97</v>
      </c>
      <c r="I3313" t="s">
        <v>179</v>
      </c>
      <c r="J3313" t="s">
        <v>929</v>
      </c>
      <c r="K3313" t="s">
        <v>180</v>
      </c>
      <c r="L3313">
        <v>200053569</v>
      </c>
    </row>
    <row r="3314" spans="3:12">
      <c r="C3314">
        <v>2100300025</v>
      </c>
      <c r="D3314">
        <v>6426000</v>
      </c>
      <c r="E3314" t="s">
        <v>188</v>
      </c>
      <c r="F3314">
        <v>5210010105</v>
      </c>
      <c r="G3314" s="13">
        <v>2332.6</v>
      </c>
      <c r="I3314" t="s">
        <v>179</v>
      </c>
      <c r="J3314" t="s">
        <v>929</v>
      </c>
      <c r="K3314" t="s">
        <v>180</v>
      </c>
      <c r="L3314">
        <v>200053570</v>
      </c>
    </row>
    <row r="3315" spans="3:12">
      <c r="C3315">
        <v>2100300025</v>
      </c>
      <c r="D3315">
        <v>6426000</v>
      </c>
      <c r="E3315" t="s">
        <v>188</v>
      </c>
      <c r="F3315">
        <v>5210010105</v>
      </c>
      <c r="G3315" s="13">
        <v>1519.4</v>
      </c>
      <c r="I3315" t="s">
        <v>179</v>
      </c>
      <c r="J3315" t="s">
        <v>929</v>
      </c>
      <c r="K3315" t="s">
        <v>180</v>
      </c>
      <c r="L3315">
        <v>200049398</v>
      </c>
    </row>
    <row r="3316" spans="3:12">
      <c r="C3316">
        <v>2100300025</v>
      </c>
      <c r="D3316">
        <v>6426000</v>
      </c>
      <c r="E3316" t="s">
        <v>188</v>
      </c>
      <c r="F3316">
        <v>5210010105</v>
      </c>
      <c r="G3316" s="13">
        <v>2228</v>
      </c>
      <c r="I3316" t="s">
        <v>179</v>
      </c>
      <c r="J3316" t="s">
        <v>929</v>
      </c>
      <c r="K3316" t="s">
        <v>180</v>
      </c>
      <c r="L3316">
        <v>200053807</v>
      </c>
    </row>
    <row r="3317" spans="3:12">
      <c r="C3317">
        <v>2100300025</v>
      </c>
      <c r="D3317">
        <v>6426000</v>
      </c>
      <c r="E3317" t="s">
        <v>188</v>
      </c>
      <c r="F3317">
        <v>5210010105</v>
      </c>
      <c r="G3317" s="13">
        <v>-9265000</v>
      </c>
      <c r="I3317" t="s">
        <v>179</v>
      </c>
      <c r="J3317" t="s">
        <v>933</v>
      </c>
      <c r="K3317" t="s">
        <v>180</v>
      </c>
      <c r="L3317">
        <v>200061915</v>
      </c>
    </row>
    <row r="3318" spans="3:12">
      <c r="C3318">
        <v>2100300025</v>
      </c>
      <c r="D3318">
        <v>6426000</v>
      </c>
      <c r="E3318" t="s">
        <v>188</v>
      </c>
      <c r="F3318">
        <v>5210010105</v>
      </c>
      <c r="G3318" s="13">
        <v>12590</v>
      </c>
      <c r="I3318" t="s">
        <v>179</v>
      </c>
      <c r="J3318" t="s">
        <v>837</v>
      </c>
      <c r="K3318" t="s">
        <v>180</v>
      </c>
      <c r="L3318">
        <v>200057753</v>
      </c>
    </row>
    <row r="3319" spans="3:12">
      <c r="C3319">
        <v>2100300025</v>
      </c>
      <c r="D3319">
        <v>6426000</v>
      </c>
      <c r="E3319" t="s">
        <v>188</v>
      </c>
      <c r="F3319">
        <v>5210010105</v>
      </c>
      <c r="G3319" s="13">
        <v>9926</v>
      </c>
      <c r="I3319" t="s">
        <v>179</v>
      </c>
      <c r="J3319" t="s">
        <v>837</v>
      </c>
      <c r="K3319" t="s">
        <v>180</v>
      </c>
      <c r="L3319">
        <v>200053354</v>
      </c>
    </row>
    <row r="3320" spans="3:12">
      <c r="C3320">
        <v>2100300025</v>
      </c>
      <c r="D3320">
        <v>6426000</v>
      </c>
      <c r="E3320" t="s">
        <v>188</v>
      </c>
      <c r="F3320">
        <v>5210010105</v>
      </c>
      <c r="G3320" s="13">
        <v>44554.8</v>
      </c>
      <c r="I3320" t="s">
        <v>179</v>
      </c>
      <c r="J3320" t="s">
        <v>837</v>
      </c>
      <c r="K3320" t="s">
        <v>180</v>
      </c>
      <c r="L3320">
        <v>200057681</v>
      </c>
    </row>
    <row r="3321" spans="3:12">
      <c r="C3321">
        <v>2100300025</v>
      </c>
      <c r="D3321">
        <v>6426000</v>
      </c>
      <c r="E3321" t="s">
        <v>188</v>
      </c>
      <c r="F3321">
        <v>5210010105</v>
      </c>
      <c r="G3321" s="13">
        <v>15000</v>
      </c>
      <c r="I3321" t="s">
        <v>179</v>
      </c>
      <c r="J3321" t="s">
        <v>837</v>
      </c>
      <c r="K3321" t="s">
        <v>180</v>
      </c>
      <c r="L3321">
        <v>200057754</v>
      </c>
    </row>
    <row r="3322" spans="3:12">
      <c r="C3322">
        <v>2100300025</v>
      </c>
      <c r="D3322">
        <v>6426000</v>
      </c>
      <c r="E3322" t="s">
        <v>188</v>
      </c>
      <c r="F3322">
        <v>5210010105</v>
      </c>
      <c r="G3322" s="13">
        <v>17700</v>
      </c>
      <c r="I3322" t="s">
        <v>179</v>
      </c>
      <c r="J3322" t="s">
        <v>837</v>
      </c>
      <c r="K3322" t="s">
        <v>180</v>
      </c>
      <c r="L3322">
        <v>200057686</v>
      </c>
    </row>
    <row r="3323" spans="3:12">
      <c r="C3323">
        <v>2100300025</v>
      </c>
      <c r="D3323">
        <v>6426000</v>
      </c>
      <c r="E3323" t="s">
        <v>188</v>
      </c>
      <c r="F3323">
        <v>5210010105</v>
      </c>
      <c r="G3323" s="13">
        <v>1015</v>
      </c>
      <c r="I3323" t="s">
        <v>179</v>
      </c>
      <c r="J3323" t="s">
        <v>932</v>
      </c>
      <c r="K3323" t="s">
        <v>180</v>
      </c>
      <c r="L3323">
        <v>200059934</v>
      </c>
    </row>
    <row r="3324" spans="3:12">
      <c r="C3324">
        <v>2100300025</v>
      </c>
      <c r="D3324">
        <v>6426000</v>
      </c>
      <c r="E3324" t="s">
        <v>188</v>
      </c>
      <c r="F3324">
        <v>5210010105</v>
      </c>
      <c r="G3324" s="13">
        <v>2290</v>
      </c>
      <c r="I3324" t="s">
        <v>179</v>
      </c>
      <c r="J3324" t="s">
        <v>932</v>
      </c>
      <c r="K3324" t="s">
        <v>180</v>
      </c>
      <c r="L3324">
        <v>200059935</v>
      </c>
    </row>
    <row r="3325" spans="3:12">
      <c r="C3325">
        <v>2100300025</v>
      </c>
      <c r="D3325">
        <v>6426000</v>
      </c>
      <c r="E3325" t="s">
        <v>188</v>
      </c>
      <c r="F3325">
        <v>5210010105</v>
      </c>
      <c r="G3325" s="13">
        <v>11500</v>
      </c>
      <c r="I3325" t="s">
        <v>179</v>
      </c>
      <c r="J3325" t="s">
        <v>932</v>
      </c>
      <c r="K3325" t="s">
        <v>180</v>
      </c>
      <c r="L3325">
        <v>200058260</v>
      </c>
    </row>
    <row r="3326" spans="3:12">
      <c r="C3326">
        <v>2100300025</v>
      </c>
      <c r="D3326">
        <v>6426000</v>
      </c>
      <c r="E3326" t="s">
        <v>188</v>
      </c>
      <c r="F3326">
        <v>5210010105</v>
      </c>
      <c r="G3326" s="13">
        <v>9045</v>
      </c>
      <c r="I3326" t="s">
        <v>179</v>
      </c>
      <c r="J3326" t="s">
        <v>932</v>
      </c>
      <c r="K3326" t="s">
        <v>180</v>
      </c>
      <c r="L3326">
        <v>200058362</v>
      </c>
    </row>
    <row r="3327" spans="3:12">
      <c r="C3327">
        <v>2100300025</v>
      </c>
      <c r="D3327">
        <v>6426000</v>
      </c>
      <c r="E3327" t="s">
        <v>188</v>
      </c>
      <c r="F3327">
        <v>5210010105</v>
      </c>
      <c r="G3327" s="13">
        <v>25500</v>
      </c>
      <c r="I3327" t="s">
        <v>179</v>
      </c>
      <c r="J3327" t="s">
        <v>932</v>
      </c>
      <c r="K3327" t="s">
        <v>180</v>
      </c>
      <c r="L3327">
        <v>200059932</v>
      </c>
    </row>
    <row r="3328" spans="3:12">
      <c r="C3328">
        <v>2100300025</v>
      </c>
      <c r="D3328">
        <v>6426000</v>
      </c>
      <c r="E3328" t="s">
        <v>188</v>
      </c>
      <c r="F3328">
        <v>5210010105</v>
      </c>
      <c r="G3328" s="13">
        <v>9265000</v>
      </c>
      <c r="I3328" t="s">
        <v>179</v>
      </c>
      <c r="J3328" t="s">
        <v>933</v>
      </c>
      <c r="K3328" t="s">
        <v>180</v>
      </c>
      <c r="L3328">
        <v>200060867</v>
      </c>
    </row>
    <row r="3329" spans="3:12">
      <c r="C3329">
        <v>2100300025</v>
      </c>
      <c r="D3329">
        <v>6426000</v>
      </c>
      <c r="E3329" t="s">
        <v>188</v>
      </c>
      <c r="F3329">
        <v>5210010105</v>
      </c>
      <c r="G3329">
        <v>600</v>
      </c>
      <c r="I3329" t="s">
        <v>179</v>
      </c>
      <c r="J3329" t="s">
        <v>934</v>
      </c>
      <c r="K3329" t="s">
        <v>180</v>
      </c>
      <c r="L3329">
        <v>200065423</v>
      </c>
    </row>
    <row r="3330" spans="3:12">
      <c r="C3330">
        <v>2100300025</v>
      </c>
      <c r="D3330">
        <v>6426000</v>
      </c>
      <c r="E3330" t="s">
        <v>188</v>
      </c>
      <c r="F3330">
        <v>5210010105</v>
      </c>
      <c r="G3330" s="13">
        <v>64200</v>
      </c>
      <c r="I3330" t="s">
        <v>179</v>
      </c>
      <c r="J3330" t="s">
        <v>933</v>
      </c>
      <c r="K3330" t="s">
        <v>180</v>
      </c>
      <c r="L3330">
        <v>200060054</v>
      </c>
    </row>
    <row r="3331" spans="3:12">
      <c r="C3331">
        <v>2100300025</v>
      </c>
      <c r="D3331">
        <v>6426000</v>
      </c>
      <c r="E3331" t="s">
        <v>188</v>
      </c>
      <c r="F3331">
        <v>5210010105</v>
      </c>
      <c r="G3331" s="13">
        <v>175000</v>
      </c>
      <c r="I3331" t="s">
        <v>179</v>
      </c>
      <c r="J3331" t="s">
        <v>933</v>
      </c>
      <c r="K3331" t="s">
        <v>180</v>
      </c>
      <c r="L3331">
        <v>200060055</v>
      </c>
    </row>
    <row r="3332" spans="3:12">
      <c r="C3332">
        <v>2100300025</v>
      </c>
      <c r="D3332">
        <v>6426000</v>
      </c>
      <c r="E3332" t="s">
        <v>188</v>
      </c>
      <c r="F3332">
        <v>5210010105</v>
      </c>
      <c r="G3332" s="13">
        <v>14000</v>
      </c>
      <c r="I3332" t="s">
        <v>179</v>
      </c>
      <c r="J3332" t="s">
        <v>933</v>
      </c>
      <c r="K3332" t="s">
        <v>180</v>
      </c>
      <c r="L3332">
        <v>200061839</v>
      </c>
    </row>
    <row r="3333" spans="3:12">
      <c r="C3333">
        <v>2100300025</v>
      </c>
      <c r="D3333">
        <v>6426000</v>
      </c>
      <c r="E3333" t="s">
        <v>188</v>
      </c>
      <c r="F3333">
        <v>5210010105</v>
      </c>
      <c r="G3333" s="13">
        <v>9470</v>
      </c>
      <c r="I3333" t="s">
        <v>179</v>
      </c>
      <c r="J3333" t="s">
        <v>933</v>
      </c>
      <c r="K3333" t="s">
        <v>180</v>
      </c>
      <c r="L3333">
        <v>200061840</v>
      </c>
    </row>
    <row r="3334" spans="3:12">
      <c r="C3334">
        <v>2100300025</v>
      </c>
      <c r="D3334">
        <v>6426000</v>
      </c>
      <c r="E3334" t="s">
        <v>188</v>
      </c>
      <c r="F3334">
        <v>5210010105</v>
      </c>
      <c r="G3334" s="13">
        <v>160000</v>
      </c>
      <c r="I3334" t="s">
        <v>179</v>
      </c>
      <c r="J3334" t="s">
        <v>933</v>
      </c>
      <c r="K3334" t="s">
        <v>180</v>
      </c>
      <c r="L3334">
        <v>200060056</v>
      </c>
    </row>
    <row r="3335" spans="3:12">
      <c r="C3335">
        <v>2100300025</v>
      </c>
      <c r="D3335">
        <v>6426000</v>
      </c>
      <c r="E3335" t="s">
        <v>188</v>
      </c>
      <c r="F3335">
        <v>5210010105</v>
      </c>
      <c r="G3335" s="13">
        <v>161300</v>
      </c>
      <c r="I3335" t="s">
        <v>179</v>
      </c>
      <c r="J3335" t="s">
        <v>933</v>
      </c>
      <c r="K3335" t="s">
        <v>180</v>
      </c>
      <c r="L3335">
        <v>200060057</v>
      </c>
    </row>
    <row r="3336" spans="3:12">
      <c r="C3336">
        <v>2100300025</v>
      </c>
      <c r="D3336">
        <v>6426000</v>
      </c>
      <c r="E3336" t="s">
        <v>188</v>
      </c>
      <c r="F3336">
        <v>5210010105</v>
      </c>
      <c r="G3336" s="13">
        <v>6000</v>
      </c>
      <c r="I3336" t="s">
        <v>179</v>
      </c>
      <c r="J3336" t="s">
        <v>935</v>
      </c>
      <c r="K3336" t="s">
        <v>180</v>
      </c>
      <c r="L3336">
        <v>200063881</v>
      </c>
    </row>
    <row r="3337" spans="3:12">
      <c r="C3337">
        <v>2100300025</v>
      </c>
      <c r="D3337">
        <v>6426000</v>
      </c>
      <c r="E3337" t="s">
        <v>188</v>
      </c>
      <c r="F3337">
        <v>5210010105</v>
      </c>
      <c r="G3337" s="13">
        <v>81000</v>
      </c>
      <c r="I3337" t="s">
        <v>179</v>
      </c>
      <c r="J3337" t="s">
        <v>935</v>
      </c>
      <c r="K3337" t="s">
        <v>180</v>
      </c>
      <c r="L3337">
        <v>200064921</v>
      </c>
    </row>
    <row r="3338" spans="3:12">
      <c r="C3338">
        <v>2100300025</v>
      </c>
      <c r="D3338">
        <v>6426000</v>
      </c>
      <c r="E3338" t="s">
        <v>188</v>
      </c>
      <c r="F3338">
        <v>5210010105</v>
      </c>
      <c r="G3338" s="13">
        <v>12976</v>
      </c>
      <c r="I3338" t="s">
        <v>179</v>
      </c>
      <c r="J3338" t="s">
        <v>935</v>
      </c>
      <c r="K3338" t="s">
        <v>180</v>
      </c>
      <c r="L3338">
        <v>200057968</v>
      </c>
    </row>
    <row r="3339" spans="3:12">
      <c r="C3339">
        <v>2100300025</v>
      </c>
      <c r="D3339">
        <v>6426000</v>
      </c>
      <c r="E3339" t="s">
        <v>188</v>
      </c>
      <c r="F3339">
        <v>5210010105</v>
      </c>
      <c r="G3339" s="13">
        <v>16000</v>
      </c>
      <c r="I3339" t="s">
        <v>179</v>
      </c>
      <c r="J3339" t="s">
        <v>836</v>
      </c>
      <c r="K3339" t="s">
        <v>180</v>
      </c>
      <c r="L3339">
        <v>200060928</v>
      </c>
    </row>
    <row r="3340" spans="3:12">
      <c r="C3340">
        <v>2100300025</v>
      </c>
      <c r="D3340">
        <v>6426000</v>
      </c>
      <c r="E3340" t="s">
        <v>188</v>
      </c>
      <c r="F3340">
        <v>5210010105</v>
      </c>
      <c r="G3340" s="13">
        <v>485000</v>
      </c>
      <c r="I3340" t="s">
        <v>179</v>
      </c>
      <c r="J3340" t="s">
        <v>836</v>
      </c>
      <c r="K3340" t="s">
        <v>180</v>
      </c>
      <c r="L3340">
        <v>200060929</v>
      </c>
    </row>
    <row r="3341" spans="3:12">
      <c r="C3341">
        <v>2100300025</v>
      </c>
      <c r="D3341">
        <v>6426000</v>
      </c>
      <c r="E3341" t="s">
        <v>188</v>
      </c>
      <c r="F3341">
        <v>5210010105</v>
      </c>
      <c r="G3341" s="13">
        <v>179644</v>
      </c>
      <c r="I3341" t="s">
        <v>179</v>
      </c>
      <c r="J3341" t="s">
        <v>836</v>
      </c>
      <c r="K3341" t="s">
        <v>180</v>
      </c>
      <c r="L3341">
        <v>200061415</v>
      </c>
    </row>
    <row r="3342" spans="3:12">
      <c r="C3342">
        <v>2100300025</v>
      </c>
      <c r="D3342">
        <v>6426000</v>
      </c>
      <c r="E3342" t="s">
        <v>188</v>
      </c>
      <c r="F3342">
        <v>5210010105</v>
      </c>
      <c r="G3342" s="13">
        <v>11713</v>
      </c>
      <c r="I3342" t="s">
        <v>179</v>
      </c>
      <c r="J3342" t="s">
        <v>836</v>
      </c>
      <c r="K3342" t="s">
        <v>180</v>
      </c>
      <c r="L3342">
        <v>200058426</v>
      </c>
    </row>
    <row r="3343" spans="3:12">
      <c r="C3343">
        <v>2100300025</v>
      </c>
      <c r="D3343">
        <v>6426000</v>
      </c>
      <c r="E3343" t="s">
        <v>188</v>
      </c>
      <c r="F3343">
        <v>5210010105</v>
      </c>
      <c r="G3343" s="13">
        <v>20651</v>
      </c>
      <c r="I3343" t="s">
        <v>179</v>
      </c>
      <c r="J3343" t="s">
        <v>837</v>
      </c>
      <c r="K3343" t="s">
        <v>180</v>
      </c>
      <c r="L3343">
        <v>200058212</v>
      </c>
    </row>
    <row r="3344" spans="3:12">
      <c r="C3344">
        <v>2100300025</v>
      </c>
      <c r="D3344">
        <v>6426000</v>
      </c>
      <c r="E3344" t="s">
        <v>188</v>
      </c>
      <c r="F3344">
        <v>5210010105</v>
      </c>
      <c r="G3344" s="13">
        <v>5235</v>
      </c>
      <c r="I3344" t="s">
        <v>179</v>
      </c>
      <c r="J3344" t="s">
        <v>837</v>
      </c>
      <c r="K3344" t="s">
        <v>180</v>
      </c>
      <c r="L3344">
        <v>200058213</v>
      </c>
    </row>
    <row r="3345" spans="3:12">
      <c r="C3345">
        <v>2100300025</v>
      </c>
      <c r="D3345">
        <v>6426000</v>
      </c>
      <c r="E3345" t="s">
        <v>188</v>
      </c>
      <c r="F3345">
        <v>5210010105</v>
      </c>
      <c r="G3345" s="13">
        <v>10000</v>
      </c>
      <c r="I3345" t="s">
        <v>179</v>
      </c>
      <c r="J3345" t="s">
        <v>837</v>
      </c>
      <c r="K3345" t="s">
        <v>180</v>
      </c>
      <c r="L3345">
        <v>200058141</v>
      </c>
    </row>
    <row r="3346" spans="3:12">
      <c r="C3346">
        <v>2100300025</v>
      </c>
      <c r="D3346">
        <v>6426000</v>
      </c>
      <c r="E3346" t="s">
        <v>188</v>
      </c>
      <c r="F3346">
        <v>5210010105</v>
      </c>
      <c r="G3346" s="13">
        <v>20830</v>
      </c>
      <c r="I3346" t="s">
        <v>179</v>
      </c>
      <c r="J3346" t="s">
        <v>837</v>
      </c>
      <c r="K3346" t="s">
        <v>180</v>
      </c>
      <c r="L3346">
        <v>200058142</v>
      </c>
    </row>
    <row r="3347" spans="3:12">
      <c r="C3347">
        <v>2100300025</v>
      </c>
      <c r="D3347">
        <v>6426000</v>
      </c>
      <c r="E3347" t="s">
        <v>188</v>
      </c>
      <c r="F3347">
        <v>5210010105</v>
      </c>
      <c r="G3347" s="13">
        <v>36500</v>
      </c>
      <c r="I3347" t="s">
        <v>179</v>
      </c>
      <c r="J3347" t="s">
        <v>837</v>
      </c>
      <c r="K3347" t="s">
        <v>180</v>
      </c>
      <c r="L3347">
        <v>200058325</v>
      </c>
    </row>
    <row r="3348" spans="3:12">
      <c r="C3348">
        <v>2100300025</v>
      </c>
      <c r="D3348">
        <v>6426000</v>
      </c>
      <c r="E3348" t="s">
        <v>188</v>
      </c>
      <c r="F3348">
        <v>5210010105</v>
      </c>
      <c r="G3348" s="13">
        <v>5476.7</v>
      </c>
      <c r="I3348" t="s">
        <v>179</v>
      </c>
      <c r="J3348" t="s">
        <v>936</v>
      </c>
      <c r="K3348" t="s">
        <v>180</v>
      </c>
      <c r="L3348">
        <v>200063683</v>
      </c>
    </row>
    <row r="3349" spans="3:12">
      <c r="C3349">
        <v>2100300025</v>
      </c>
      <c r="D3349">
        <v>6426000</v>
      </c>
      <c r="E3349" t="s">
        <v>188</v>
      </c>
      <c r="F3349">
        <v>5210010105</v>
      </c>
      <c r="G3349" s="13">
        <v>70000</v>
      </c>
      <c r="I3349" t="s">
        <v>179</v>
      </c>
      <c r="J3349" t="s">
        <v>936</v>
      </c>
      <c r="K3349" t="s">
        <v>180</v>
      </c>
      <c r="L3349">
        <v>200062684</v>
      </c>
    </row>
    <row r="3350" spans="3:12">
      <c r="C3350">
        <v>2100300025</v>
      </c>
      <c r="D3350">
        <v>6426000</v>
      </c>
      <c r="E3350" t="s">
        <v>188</v>
      </c>
      <c r="F3350">
        <v>5210010105</v>
      </c>
      <c r="G3350" s="13">
        <v>36880</v>
      </c>
      <c r="I3350" t="s">
        <v>179</v>
      </c>
      <c r="J3350" t="s">
        <v>936</v>
      </c>
      <c r="K3350" t="s">
        <v>180</v>
      </c>
      <c r="L3350">
        <v>200062685</v>
      </c>
    </row>
    <row r="3351" spans="3:12">
      <c r="C3351">
        <v>2100300025</v>
      </c>
      <c r="D3351">
        <v>6426000</v>
      </c>
      <c r="E3351" t="s">
        <v>188</v>
      </c>
      <c r="F3351">
        <v>5210010105</v>
      </c>
      <c r="G3351" s="13">
        <v>9265000</v>
      </c>
      <c r="I3351" t="s">
        <v>179</v>
      </c>
      <c r="J3351" t="s">
        <v>937</v>
      </c>
      <c r="K3351" t="s">
        <v>180</v>
      </c>
      <c r="L3351">
        <v>200063635</v>
      </c>
    </row>
    <row r="3352" spans="3:12">
      <c r="C3352">
        <v>2100300025</v>
      </c>
      <c r="D3352">
        <v>6426000</v>
      </c>
      <c r="E3352" t="s">
        <v>188</v>
      </c>
      <c r="F3352">
        <v>5210010105</v>
      </c>
      <c r="G3352" s="13">
        <v>3275</v>
      </c>
      <c r="I3352" t="s">
        <v>179</v>
      </c>
      <c r="J3352" t="s">
        <v>937</v>
      </c>
      <c r="K3352" t="s">
        <v>180</v>
      </c>
      <c r="L3352">
        <v>200063816</v>
      </c>
    </row>
    <row r="3353" spans="3:12">
      <c r="C3353">
        <v>2100300025</v>
      </c>
      <c r="D3353">
        <v>6426000</v>
      </c>
      <c r="E3353" t="s">
        <v>188</v>
      </c>
      <c r="F3353">
        <v>5210010105</v>
      </c>
      <c r="G3353" s="13">
        <v>2974.2</v>
      </c>
      <c r="I3353" t="s">
        <v>179</v>
      </c>
      <c r="J3353" t="s">
        <v>937</v>
      </c>
      <c r="K3353" t="s">
        <v>180</v>
      </c>
      <c r="L3353">
        <v>200062673</v>
      </c>
    </row>
    <row r="3354" spans="3:12">
      <c r="C3354">
        <v>2100300025</v>
      </c>
      <c r="D3354">
        <v>6426000</v>
      </c>
      <c r="E3354" t="s">
        <v>188</v>
      </c>
      <c r="F3354">
        <v>5210010105</v>
      </c>
      <c r="G3354" s="13">
        <v>19950</v>
      </c>
      <c r="I3354" t="s">
        <v>179</v>
      </c>
      <c r="J3354" t="s">
        <v>937</v>
      </c>
      <c r="K3354" t="s">
        <v>180</v>
      </c>
      <c r="L3354">
        <v>200063621</v>
      </c>
    </row>
    <row r="3355" spans="3:12">
      <c r="C3355">
        <v>2100300025</v>
      </c>
      <c r="D3355">
        <v>6426000</v>
      </c>
      <c r="E3355" t="s">
        <v>188</v>
      </c>
      <c r="F3355">
        <v>5210010105</v>
      </c>
      <c r="G3355" s="13">
        <v>400400</v>
      </c>
      <c r="I3355" t="s">
        <v>179</v>
      </c>
      <c r="J3355" t="s">
        <v>937</v>
      </c>
      <c r="K3355" t="s">
        <v>180</v>
      </c>
      <c r="L3355">
        <v>200062648</v>
      </c>
    </row>
    <row r="3356" spans="3:12">
      <c r="C3356">
        <v>2100300025</v>
      </c>
      <c r="D3356">
        <v>6426000</v>
      </c>
      <c r="E3356" t="s">
        <v>188</v>
      </c>
      <c r="F3356">
        <v>5210010105</v>
      </c>
      <c r="G3356" s="13">
        <v>13375</v>
      </c>
      <c r="I3356" t="s">
        <v>179</v>
      </c>
      <c r="J3356" t="s">
        <v>937</v>
      </c>
      <c r="K3356" t="s">
        <v>180</v>
      </c>
      <c r="L3356">
        <v>200063622</v>
      </c>
    </row>
    <row r="3357" spans="3:12">
      <c r="C3357">
        <v>2100300025</v>
      </c>
      <c r="D3357">
        <v>6426000</v>
      </c>
      <c r="E3357" t="s">
        <v>188</v>
      </c>
      <c r="F3357">
        <v>5210010105</v>
      </c>
      <c r="G3357" s="13">
        <v>12500</v>
      </c>
      <c r="I3357" t="s">
        <v>179</v>
      </c>
      <c r="J3357" t="s">
        <v>937</v>
      </c>
      <c r="K3357" t="s">
        <v>180</v>
      </c>
      <c r="L3357">
        <v>200063623</v>
      </c>
    </row>
    <row r="3358" spans="3:12">
      <c r="C3358">
        <v>2100300025</v>
      </c>
      <c r="D3358">
        <v>6426000</v>
      </c>
      <c r="E3358" t="s">
        <v>188</v>
      </c>
      <c r="F3358">
        <v>5210010105</v>
      </c>
      <c r="G3358" s="13">
        <v>11000</v>
      </c>
      <c r="I3358" t="s">
        <v>179</v>
      </c>
      <c r="J3358" t="s">
        <v>937</v>
      </c>
      <c r="K3358" t="s">
        <v>180</v>
      </c>
      <c r="L3358">
        <v>200063802</v>
      </c>
    </row>
    <row r="3359" spans="3:12">
      <c r="C3359">
        <v>2100300025</v>
      </c>
      <c r="D3359">
        <v>6426000</v>
      </c>
      <c r="E3359" t="s">
        <v>188</v>
      </c>
      <c r="F3359">
        <v>5210010105</v>
      </c>
      <c r="G3359" s="13">
        <v>80250</v>
      </c>
      <c r="I3359" t="s">
        <v>179</v>
      </c>
      <c r="J3359" t="s">
        <v>937</v>
      </c>
      <c r="K3359" t="s">
        <v>180</v>
      </c>
      <c r="L3359">
        <v>200063625</v>
      </c>
    </row>
    <row r="3360" spans="3:12">
      <c r="C3360">
        <v>2100300025</v>
      </c>
      <c r="D3360">
        <v>6426000</v>
      </c>
      <c r="E3360" t="s">
        <v>188</v>
      </c>
      <c r="F3360">
        <v>5210010105</v>
      </c>
      <c r="G3360" s="13">
        <v>8800</v>
      </c>
      <c r="I3360" t="s">
        <v>179</v>
      </c>
      <c r="J3360" t="s">
        <v>937</v>
      </c>
      <c r="K3360" t="s">
        <v>180</v>
      </c>
      <c r="L3360">
        <v>200057397</v>
      </c>
    </row>
    <row r="3361" spans="3:12">
      <c r="C3361">
        <v>2100300025</v>
      </c>
      <c r="D3361">
        <v>6426000</v>
      </c>
      <c r="E3361" t="s">
        <v>188</v>
      </c>
      <c r="F3361">
        <v>5210010105</v>
      </c>
      <c r="G3361" s="13">
        <v>95000</v>
      </c>
      <c r="I3361" t="s">
        <v>179</v>
      </c>
      <c r="J3361" t="s">
        <v>937</v>
      </c>
      <c r="K3361" t="s">
        <v>180</v>
      </c>
      <c r="L3361">
        <v>200053387</v>
      </c>
    </row>
    <row r="3362" spans="3:12">
      <c r="C3362">
        <v>2100300025</v>
      </c>
      <c r="D3362">
        <v>6426000</v>
      </c>
      <c r="E3362" t="s">
        <v>188</v>
      </c>
      <c r="F3362">
        <v>5210010105</v>
      </c>
      <c r="G3362" s="13">
        <v>85600</v>
      </c>
      <c r="I3362" t="s">
        <v>179</v>
      </c>
      <c r="J3362" t="s">
        <v>937</v>
      </c>
      <c r="K3362" t="s">
        <v>180</v>
      </c>
      <c r="L3362">
        <v>200062651</v>
      </c>
    </row>
    <row r="3363" spans="3:12">
      <c r="C3363">
        <v>2100300025</v>
      </c>
      <c r="D3363">
        <v>6426000</v>
      </c>
      <c r="E3363" t="s">
        <v>188</v>
      </c>
      <c r="F3363">
        <v>5210010105</v>
      </c>
      <c r="G3363" s="13">
        <v>6595</v>
      </c>
      <c r="I3363" t="s">
        <v>179</v>
      </c>
      <c r="J3363" t="s">
        <v>937</v>
      </c>
      <c r="K3363" t="s">
        <v>180</v>
      </c>
      <c r="L3363">
        <v>200063626</v>
      </c>
    </row>
    <row r="3364" spans="3:12">
      <c r="C3364">
        <v>2100300025</v>
      </c>
      <c r="D3364">
        <v>6426000</v>
      </c>
      <c r="E3364" t="s">
        <v>188</v>
      </c>
      <c r="F3364">
        <v>5210010105</v>
      </c>
      <c r="G3364" s="13">
        <v>69000</v>
      </c>
      <c r="I3364" t="s">
        <v>179</v>
      </c>
      <c r="J3364" t="s">
        <v>937</v>
      </c>
      <c r="K3364" t="s">
        <v>180</v>
      </c>
      <c r="L3364">
        <v>200063627</v>
      </c>
    </row>
    <row r="3365" spans="3:12">
      <c r="C3365">
        <v>2100300025</v>
      </c>
      <c r="D3365">
        <v>6426000</v>
      </c>
      <c r="E3365" t="s">
        <v>188</v>
      </c>
      <c r="F3365">
        <v>5210010105</v>
      </c>
      <c r="G3365" s="13">
        <v>37500</v>
      </c>
      <c r="I3365" t="s">
        <v>179</v>
      </c>
      <c r="J3365" t="s">
        <v>937</v>
      </c>
      <c r="K3365" t="s">
        <v>180</v>
      </c>
      <c r="L3365">
        <v>200063628</v>
      </c>
    </row>
    <row r="3366" spans="3:12">
      <c r="C3366">
        <v>2100300025</v>
      </c>
      <c r="D3366">
        <v>6426000</v>
      </c>
      <c r="E3366" t="s">
        <v>188</v>
      </c>
      <c r="F3366">
        <v>5210010105</v>
      </c>
      <c r="G3366" s="13">
        <v>219640</v>
      </c>
      <c r="I3366" t="s">
        <v>179</v>
      </c>
      <c r="J3366" t="s">
        <v>937</v>
      </c>
      <c r="K3366" t="s">
        <v>180</v>
      </c>
      <c r="L3366">
        <v>200053388</v>
      </c>
    </row>
    <row r="3367" spans="3:12">
      <c r="C3367">
        <v>2100300025</v>
      </c>
      <c r="D3367">
        <v>6426000</v>
      </c>
      <c r="E3367" t="s">
        <v>188</v>
      </c>
      <c r="F3367">
        <v>5210010105</v>
      </c>
      <c r="G3367" s="13">
        <v>32240</v>
      </c>
      <c r="I3367" t="s">
        <v>179</v>
      </c>
      <c r="J3367" t="s">
        <v>937</v>
      </c>
      <c r="K3367" t="s">
        <v>180</v>
      </c>
      <c r="L3367">
        <v>200063803</v>
      </c>
    </row>
    <row r="3368" spans="3:12">
      <c r="C3368">
        <v>2100300025</v>
      </c>
      <c r="D3368">
        <v>6426000</v>
      </c>
      <c r="E3368" t="s">
        <v>188</v>
      </c>
      <c r="F3368">
        <v>5210010105</v>
      </c>
      <c r="G3368" s="13">
        <v>101400</v>
      </c>
      <c r="I3368" t="s">
        <v>179</v>
      </c>
      <c r="J3368" t="s">
        <v>937</v>
      </c>
      <c r="K3368" t="s">
        <v>180</v>
      </c>
      <c r="L3368">
        <v>200063630</v>
      </c>
    </row>
    <row r="3369" spans="3:12">
      <c r="C3369">
        <v>2100300025</v>
      </c>
      <c r="D3369">
        <v>6426000</v>
      </c>
      <c r="E3369" t="s">
        <v>188</v>
      </c>
      <c r="F3369">
        <v>5210010105</v>
      </c>
      <c r="G3369" s="13">
        <v>2304</v>
      </c>
      <c r="I3369" t="s">
        <v>179</v>
      </c>
      <c r="J3369" t="s">
        <v>938</v>
      </c>
      <c r="K3369" t="s">
        <v>180</v>
      </c>
      <c r="L3369">
        <v>200066558</v>
      </c>
    </row>
    <row r="3370" spans="3:12">
      <c r="C3370">
        <v>2100300025</v>
      </c>
      <c r="D3370">
        <v>6426000</v>
      </c>
      <c r="E3370" t="s">
        <v>188</v>
      </c>
      <c r="F3370">
        <v>5210010105</v>
      </c>
      <c r="G3370" s="13">
        <v>2000</v>
      </c>
      <c r="I3370" t="s">
        <v>179</v>
      </c>
      <c r="J3370" t="s">
        <v>938</v>
      </c>
      <c r="K3370" t="s">
        <v>180</v>
      </c>
      <c r="L3370">
        <v>200065314</v>
      </c>
    </row>
    <row r="3371" spans="3:12">
      <c r="C3371">
        <v>2100300025</v>
      </c>
      <c r="D3371">
        <v>6426000</v>
      </c>
      <c r="E3371" t="s">
        <v>188</v>
      </c>
      <c r="F3371">
        <v>5210010105</v>
      </c>
      <c r="G3371" s="13">
        <v>2250</v>
      </c>
      <c r="I3371" t="s">
        <v>179</v>
      </c>
      <c r="J3371" t="s">
        <v>938</v>
      </c>
      <c r="K3371" t="s">
        <v>180</v>
      </c>
      <c r="L3371">
        <v>200065731</v>
      </c>
    </row>
    <row r="3372" spans="3:12">
      <c r="C3372">
        <v>2100300025</v>
      </c>
      <c r="D3372">
        <v>6426000</v>
      </c>
      <c r="E3372" t="s">
        <v>188</v>
      </c>
      <c r="F3372">
        <v>5210010105</v>
      </c>
      <c r="G3372" s="13">
        <v>2250</v>
      </c>
      <c r="I3372" t="s">
        <v>179</v>
      </c>
      <c r="J3372" t="s">
        <v>938</v>
      </c>
      <c r="K3372" t="s">
        <v>180</v>
      </c>
      <c r="L3372">
        <v>200066629</v>
      </c>
    </row>
    <row r="3373" spans="3:12">
      <c r="C3373">
        <v>2100300025</v>
      </c>
      <c r="D3373">
        <v>6426000</v>
      </c>
      <c r="E3373" t="s">
        <v>188</v>
      </c>
      <c r="F3373">
        <v>5210010105</v>
      </c>
      <c r="G3373" s="13">
        <v>61320</v>
      </c>
      <c r="I3373" t="s">
        <v>179</v>
      </c>
      <c r="J3373" t="s">
        <v>938</v>
      </c>
      <c r="K3373" t="s">
        <v>180</v>
      </c>
      <c r="L3373">
        <v>200065491</v>
      </c>
    </row>
    <row r="3374" spans="3:12">
      <c r="C3374">
        <v>2100300025</v>
      </c>
      <c r="D3374">
        <v>6426000</v>
      </c>
      <c r="E3374" t="s">
        <v>188</v>
      </c>
      <c r="F3374">
        <v>5210010105</v>
      </c>
      <c r="G3374" s="13">
        <v>2840</v>
      </c>
      <c r="I3374" t="s">
        <v>179</v>
      </c>
      <c r="J3374" t="s">
        <v>939</v>
      </c>
      <c r="K3374" t="s">
        <v>180</v>
      </c>
      <c r="L3374">
        <v>200068479</v>
      </c>
    </row>
    <row r="3375" spans="3:12">
      <c r="C3375">
        <v>2100300025</v>
      </c>
      <c r="D3375">
        <v>6426000</v>
      </c>
      <c r="E3375" t="s">
        <v>188</v>
      </c>
      <c r="F3375">
        <v>5210010105</v>
      </c>
      <c r="G3375" s="13">
        <v>2130</v>
      </c>
      <c r="I3375" t="s">
        <v>179</v>
      </c>
      <c r="J3375" t="s">
        <v>939</v>
      </c>
      <c r="K3375" t="s">
        <v>180</v>
      </c>
      <c r="L3375">
        <v>200069719</v>
      </c>
    </row>
    <row r="3376" spans="3:12">
      <c r="C3376">
        <v>2100300025</v>
      </c>
      <c r="D3376">
        <v>6426000</v>
      </c>
      <c r="E3376" t="s">
        <v>188</v>
      </c>
      <c r="F3376">
        <v>5210010105</v>
      </c>
      <c r="G3376" s="13">
        <v>2487.75</v>
      </c>
      <c r="I3376" t="s">
        <v>179</v>
      </c>
      <c r="J3376" t="s">
        <v>939</v>
      </c>
      <c r="K3376" t="s">
        <v>180</v>
      </c>
      <c r="L3376">
        <v>200068480</v>
      </c>
    </row>
    <row r="3377" spans="3:12">
      <c r="C3377">
        <v>2100300025</v>
      </c>
      <c r="D3377">
        <v>6426000</v>
      </c>
      <c r="E3377" t="s">
        <v>188</v>
      </c>
      <c r="F3377">
        <v>5210010105</v>
      </c>
      <c r="G3377" s="13">
        <v>7300</v>
      </c>
      <c r="I3377" t="s">
        <v>179</v>
      </c>
      <c r="J3377" t="s">
        <v>939</v>
      </c>
      <c r="K3377" t="s">
        <v>180</v>
      </c>
      <c r="L3377">
        <v>200068627</v>
      </c>
    </row>
    <row r="3378" spans="3:12">
      <c r="C3378">
        <v>2100300025</v>
      </c>
      <c r="D3378">
        <v>6426000</v>
      </c>
      <c r="E3378" t="s">
        <v>188</v>
      </c>
      <c r="F3378">
        <v>5210010105</v>
      </c>
      <c r="G3378" s="13">
        <v>22320</v>
      </c>
      <c r="I3378" t="s">
        <v>179</v>
      </c>
      <c r="J3378" t="s">
        <v>939</v>
      </c>
      <c r="K3378" t="s">
        <v>180</v>
      </c>
      <c r="L3378">
        <v>200068473</v>
      </c>
    </row>
    <row r="3379" spans="3:12">
      <c r="C3379">
        <v>2100300025</v>
      </c>
      <c r="D3379">
        <v>6426000</v>
      </c>
      <c r="E3379" t="s">
        <v>188</v>
      </c>
      <c r="F3379">
        <v>5210010105</v>
      </c>
      <c r="G3379" s="13">
        <v>8840</v>
      </c>
      <c r="I3379" t="s">
        <v>179</v>
      </c>
      <c r="J3379" t="s">
        <v>939</v>
      </c>
      <c r="K3379" t="s">
        <v>180</v>
      </c>
      <c r="L3379">
        <v>200068474</v>
      </c>
    </row>
    <row r="3380" spans="3:12">
      <c r="C3380">
        <v>2100300025</v>
      </c>
      <c r="D3380">
        <v>6426000</v>
      </c>
      <c r="E3380" t="s">
        <v>188</v>
      </c>
      <c r="F3380">
        <v>5210010105</v>
      </c>
      <c r="G3380" s="13">
        <v>11418</v>
      </c>
      <c r="I3380" t="s">
        <v>179</v>
      </c>
      <c r="J3380" t="s">
        <v>939</v>
      </c>
      <c r="K3380" t="s">
        <v>180</v>
      </c>
      <c r="L3380">
        <v>200068598</v>
      </c>
    </row>
    <row r="3381" spans="3:12">
      <c r="C3381">
        <v>2100300025</v>
      </c>
      <c r="D3381">
        <v>6426000</v>
      </c>
      <c r="E3381" t="s">
        <v>188</v>
      </c>
      <c r="F3381">
        <v>5210010105</v>
      </c>
      <c r="G3381" s="13">
        <v>6641</v>
      </c>
      <c r="I3381" t="s">
        <v>179</v>
      </c>
      <c r="J3381" t="s">
        <v>939</v>
      </c>
      <c r="K3381" t="s">
        <v>180</v>
      </c>
      <c r="L3381">
        <v>200068599</v>
      </c>
    </row>
    <row r="3382" spans="3:12">
      <c r="C3382">
        <v>2100300025</v>
      </c>
      <c r="D3382">
        <v>6426000</v>
      </c>
      <c r="E3382" t="s">
        <v>188</v>
      </c>
      <c r="F3382">
        <v>5210010105</v>
      </c>
      <c r="G3382" s="13">
        <v>70000</v>
      </c>
      <c r="I3382" t="s">
        <v>179</v>
      </c>
      <c r="J3382" t="s">
        <v>939</v>
      </c>
      <c r="K3382" t="s">
        <v>180</v>
      </c>
      <c r="L3382">
        <v>200069349</v>
      </c>
    </row>
    <row r="3383" spans="3:12">
      <c r="C3383">
        <v>2100300025</v>
      </c>
      <c r="D3383">
        <v>6426000</v>
      </c>
      <c r="E3383" t="s">
        <v>188</v>
      </c>
      <c r="F3383">
        <v>5210010105</v>
      </c>
      <c r="G3383" s="13">
        <v>8607</v>
      </c>
      <c r="I3383" t="s">
        <v>179</v>
      </c>
      <c r="J3383" t="s">
        <v>939</v>
      </c>
      <c r="K3383" t="s">
        <v>180</v>
      </c>
      <c r="L3383">
        <v>200069350</v>
      </c>
    </row>
    <row r="3384" spans="3:12">
      <c r="C3384">
        <v>2100300025</v>
      </c>
      <c r="D3384">
        <v>6426000</v>
      </c>
      <c r="E3384" t="s">
        <v>188</v>
      </c>
      <c r="F3384">
        <v>5210010105</v>
      </c>
      <c r="G3384" s="13">
        <v>5136</v>
      </c>
      <c r="I3384" t="s">
        <v>179</v>
      </c>
      <c r="J3384" t="s">
        <v>939</v>
      </c>
      <c r="K3384" t="s">
        <v>180</v>
      </c>
      <c r="L3384">
        <v>200069353</v>
      </c>
    </row>
    <row r="3385" spans="3:12">
      <c r="C3385">
        <v>2100300025</v>
      </c>
      <c r="D3385">
        <v>6426000</v>
      </c>
      <c r="E3385" t="s">
        <v>188</v>
      </c>
      <c r="F3385">
        <v>5210010105</v>
      </c>
      <c r="G3385" s="13">
        <v>8537</v>
      </c>
      <c r="I3385" t="s">
        <v>179</v>
      </c>
      <c r="J3385" t="s">
        <v>939</v>
      </c>
      <c r="K3385" t="s">
        <v>180</v>
      </c>
      <c r="L3385">
        <v>200069221</v>
      </c>
    </row>
    <row r="3386" spans="3:12">
      <c r="C3386">
        <v>2100300025</v>
      </c>
      <c r="D3386">
        <v>6426000</v>
      </c>
      <c r="E3386" t="s">
        <v>188</v>
      </c>
      <c r="F3386">
        <v>5210010105</v>
      </c>
      <c r="G3386" s="13">
        <v>20400</v>
      </c>
      <c r="I3386" t="s">
        <v>179</v>
      </c>
      <c r="J3386" t="s">
        <v>939</v>
      </c>
      <c r="K3386" t="s">
        <v>180</v>
      </c>
      <c r="L3386">
        <v>200068356</v>
      </c>
    </row>
    <row r="3387" spans="3:12">
      <c r="C3387">
        <v>2100300025</v>
      </c>
      <c r="D3387">
        <v>6426000</v>
      </c>
      <c r="E3387" t="s">
        <v>188</v>
      </c>
      <c r="F3387">
        <v>5210010105</v>
      </c>
      <c r="G3387" s="13">
        <v>1079796.25</v>
      </c>
      <c r="I3387" t="s">
        <v>179</v>
      </c>
      <c r="J3387" t="s">
        <v>940</v>
      </c>
      <c r="K3387" t="s">
        <v>180</v>
      </c>
      <c r="L3387">
        <v>200070128</v>
      </c>
    </row>
    <row r="3388" spans="3:12">
      <c r="C3388">
        <v>2100300025</v>
      </c>
      <c r="D3388">
        <v>6426000</v>
      </c>
      <c r="E3388" t="s">
        <v>188</v>
      </c>
      <c r="F3388">
        <v>5210010105</v>
      </c>
      <c r="G3388" s="13">
        <v>7490</v>
      </c>
      <c r="I3388" t="s">
        <v>179</v>
      </c>
      <c r="J3388" t="s">
        <v>940</v>
      </c>
      <c r="K3388" t="s">
        <v>180</v>
      </c>
      <c r="L3388">
        <v>200070484</v>
      </c>
    </row>
    <row r="3389" spans="3:12">
      <c r="C3389">
        <v>2100300025</v>
      </c>
      <c r="D3389">
        <v>6426000</v>
      </c>
      <c r="E3389" t="s">
        <v>188</v>
      </c>
      <c r="F3389">
        <v>5210010105</v>
      </c>
      <c r="G3389" s="13">
        <v>9917</v>
      </c>
      <c r="I3389" t="s">
        <v>179</v>
      </c>
      <c r="J3389" t="s">
        <v>941</v>
      </c>
      <c r="K3389" t="s">
        <v>180</v>
      </c>
      <c r="L3389">
        <v>200070606</v>
      </c>
    </row>
    <row r="3390" spans="3:12">
      <c r="C3390">
        <v>2100300025</v>
      </c>
      <c r="D3390">
        <v>6426000</v>
      </c>
      <c r="E3390" t="s">
        <v>188</v>
      </c>
      <c r="F3390">
        <v>5210010105</v>
      </c>
      <c r="G3390" s="13">
        <v>4560</v>
      </c>
      <c r="I3390" t="s">
        <v>179</v>
      </c>
      <c r="J3390" t="s">
        <v>942</v>
      </c>
      <c r="K3390" t="s">
        <v>180</v>
      </c>
      <c r="L3390">
        <v>200069949</v>
      </c>
    </row>
    <row r="3391" spans="3:12">
      <c r="C3391">
        <v>2100300025</v>
      </c>
      <c r="D3391">
        <v>6426000</v>
      </c>
      <c r="E3391" t="s">
        <v>188</v>
      </c>
      <c r="F3391">
        <v>5210010105</v>
      </c>
      <c r="G3391" s="13">
        <v>1990</v>
      </c>
      <c r="I3391" t="s">
        <v>179</v>
      </c>
      <c r="J3391" t="s">
        <v>942</v>
      </c>
      <c r="K3391" t="s">
        <v>180</v>
      </c>
      <c r="L3391">
        <v>200070052</v>
      </c>
    </row>
    <row r="3392" spans="3:12">
      <c r="C3392">
        <v>2100300025</v>
      </c>
      <c r="D3392">
        <v>6426000</v>
      </c>
      <c r="E3392" t="s">
        <v>188</v>
      </c>
      <c r="F3392">
        <v>5210010105</v>
      </c>
      <c r="G3392" s="13">
        <v>2626.85</v>
      </c>
      <c r="I3392" t="s">
        <v>179</v>
      </c>
      <c r="J3392" t="s">
        <v>942</v>
      </c>
      <c r="K3392" t="s">
        <v>180</v>
      </c>
      <c r="L3392">
        <v>200070054</v>
      </c>
    </row>
    <row r="3393" spans="3:12">
      <c r="C3393">
        <v>2100300025</v>
      </c>
      <c r="D3393">
        <v>6426000</v>
      </c>
      <c r="E3393" t="s">
        <v>188</v>
      </c>
      <c r="F3393">
        <v>5210010105</v>
      </c>
      <c r="G3393" s="13">
        <v>4012.5</v>
      </c>
      <c r="I3393" t="s">
        <v>179</v>
      </c>
      <c r="J3393" t="s">
        <v>942</v>
      </c>
      <c r="K3393" t="s">
        <v>180</v>
      </c>
      <c r="L3393">
        <v>200069959</v>
      </c>
    </row>
    <row r="3394" spans="3:12">
      <c r="C3394">
        <v>2100300025</v>
      </c>
      <c r="D3394">
        <v>6426000</v>
      </c>
      <c r="E3394" t="s">
        <v>188</v>
      </c>
      <c r="F3394">
        <v>5210010105</v>
      </c>
      <c r="G3394" s="13">
        <v>4725</v>
      </c>
      <c r="I3394" t="s">
        <v>179</v>
      </c>
      <c r="J3394" t="s">
        <v>942</v>
      </c>
      <c r="K3394" t="s">
        <v>180</v>
      </c>
      <c r="L3394">
        <v>200068665</v>
      </c>
    </row>
    <row r="3395" spans="3:12">
      <c r="C3395">
        <v>2100300025</v>
      </c>
      <c r="D3395">
        <v>6426000</v>
      </c>
      <c r="E3395" t="s">
        <v>188</v>
      </c>
      <c r="F3395">
        <v>5210010105</v>
      </c>
      <c r="G3395" s="13">
        <v>2520</v>
      </c>
      <c r="I3395" t="s">
        <v>179</v>
      </c>
      <c r="J3395" t="s">
        <v>942</v>
      </c>
      <c r="K3395" t="s">
        <v>180</v>
      </c>
      <c r="L3395">
        <v>200068666</v>
      </c>
    </row>
    <row r="3396" spans="3:12">
      <c r="C3396">
        <v>2100300025</v>
      </c>
      <c r="D3396">
        <v>6426000</v>
      </c>
      <c r="E3396" t="s">
        <v>188</v>
      </c>
      <c r="F3396">
        <v>5210010105</v>
      </c>
      <c r="G3396" s="13">
        <v>2259.85</v>
      </c>
      <c r="I3396" t="s">
        <v>179</v>
      </c>
      <c r="J3396" t="s">
        <v>942</v>
      </c>
      <c r="K3396" t="s">
        <v>180</v>
      </c>
      <c r="L3396">
        <v>200069964</v>
      </c>
    </row>
    <row r="3397" spans="3:12">
      <c r="C3397">
        <v>2100300025</v>
      </c>
      <c r="D3397">
        <v>6426000</v>
      </c>
      <c r="E3397" t="s">
        <v>188</v>
      </c>
      <c r="F3397">
        <v>5210010105</v>
      </c>
      <c r="G3397" s="13">
        <v>112350</v>
      </c>
      <c r="I3397" t="s">
        <v>179</v>
      </c>
      <c r="J3397" t="s">
        <v>942</v>
      </c>
      <c r="K3397" t="s">
        <v>180</v>
      </c>
      <c r="L3397">
        <v>200068671</v>
      </c>
    </row>
    <row r="3398" spans="3:12">
      <c r="C3398">
        <v>2100300025</v>
      </c>
      <c r="D3398">
        <v>6426000</v>
      </c>
      <c r="E3398" t="s">
        <v>188</v>
      </c>
      <c r="F3398">
        <v>5210010105</v>
      </c>
      <c r="G3398" s="13">
        <v>27820</v>
      </c>
      <c r="I3398" t="s">
        <v>179</v>
      </c>
      <c r="J3398" t="s">
        <v>938</v>
      </c>
      <c r="K3398" t="s">
        <v>180</v>
      </c>
      <c r="L3398">
        <v>200065717</v>
      </c>
    </row>
    <row r="3399" spans="3:12">
      <c r="C3399">
        <v>2100300025</v>
      </c>
      <c r="D3399">
        <v>6426000</v>
      </c>
      <c r="E3399" t="s">
        <v>188</v>
      </c>
      <c r="F3399">
        <v>5210010105</v>
      </c>
      <c r="G3399" s="13">
        <v>-43800</v>
      </c>
      <c r="I3399" t="s">
        <v>179</v>
      </c>
      <c r="J3399" t="s">
        <v>943</v>
      </c>
      <c r="K3399" t="s">
        <v>180</v>
      </c>
      <c r="L3399">
        <v>200066449</v>
      </c>
    </row>
    <row r="3400" spans="3:12">
      <c r="C3400">
        <v>2100300025</v>
      </c>
      <c r="D3400">
        <v>6426000</v>
      </c>
      <c r="E3400" t="s">
        <v>188</v>
      </c>
      <c r="F3400">
        <v>5210010105</v>
      </c>
      <c r="G3400" s="13">
        <v>-31000</v>
      </c>
      <c r="I3400" t="s">
        <v>179</v>
      </c>
      <c r="J3400" t="s">
        <v>943</v>
      </c>
      <c r="K3400" t="s">
        <v>180</v>
      </c>
      <c r="L3400">
        <v>200066450</v>
      </c>
    </row>
    <row r="3401" spans="3:12">
      <c r="C3401">
        <v>2100300025</v>
      </c>
      <c r="D3401">
        <v>6426000</v>
      </c>
      <c r="E3401" t="s">
        <v>188</v>
      </c>
      <c r="F3401">
        <v>5210010105</v>
      </c>
      <c r="G3401" s="13">
        <v>-100000</v>
      </c>
      <c r="I3401" t="s">
        <v>179</v>
      </c>
      <c r="J3401" t="s">
        <v>943</v>
      </c>
      <c r="K3401" t="s">
        <v>180</v>
      </c>
      <c r="L3401">
        <v>200066457</v>
      </c>
    </row>
    <row r="3402" spans="3:12">
      <c r="C3402">
        <v>2100300025</v>
      </c>
      <c r="D3402">
        <v>6426000</v>
      </c>
      <c r="E3402" t="s">
        <v>188</v>
      </c>
      <c r="F3402">
        <v>5210010105</v>
      </c>
      <c r="G3402" s="13">
        <v>14070.5</v>
      </c>
      <c r="I3402" t="s">
        <v>179</v>
      </c>
      <c r="J3402" t="s">
        <v>938</v>
      </c>
      <c r="K3402" t="s">
        <v>180</v>
      </c>
      <c r="L3402">
        <v>200064051</v>
      </c>
    </row>
    <row r="3403" spans="3:12">
      <c r="C3403">
        <v>2100300025</v>
      </c>
      <c r="D3403">
        <v>6426000</v>
      </c>
      <c r="E3403" t="s">
        <v>188</v>
      </c>
      <c r="F3403">
        <v>5210010105</v>
      </c>
      <c r="G3403" s="13">
        <v>495600</v>
      </c>
      <c r="I3403" t="s">
        <v>179</v>
      </c>
      <c r="J3403" t="s">
        <v>938</v>
      </c>
      <c r="K3403" t="s">
        <v>180</v>
      </c>
      <c r="L3403">
        <v>200066508</v>
      </c>
    </row>
    <row r="3404" spans="3:12">
      <c r="C3404">
        <v>2100300025</v>
      </c>
      <c r="D3404">
        <v>6426000</v>
      </c>
      <c r="E3404" t="s">
        <v>188</v>
      </c>
      <c r="F3404">
        <v>5210010105</v>
      </c>
      <c r="G3404" s="13">
        <v>28000</v>
      </c>
      <c r="I3404" t="s">
        <v>179</v>
      </c>
      <c r="J3404" t="s">
        <v>938</v>
      </c>
      <c r="K3404" t="s">
        <v>180</v>
      </c>
      <c r="L3404">
        <v>200065718</v>
      </c>
    </row>
    <row r="3405" spans="3:12">
      <c r="C3405">
        <v>2100300025</v>
      </c>
      <c r="D3405">
        <v>6426000</v>
      </c>
      <c r="E3405" t="s">
        <v>188</v>
      </c>
      <c r="F3405">
        <v>5210010105</v>
      </c>
      <c r="G3405" s="13">
        <v>-430100</v>
      </c>
      <c r="I3405" t="s">
        <v>179</v>
      </c>
      <c r="J3405" t="s">
        <v>943</v>
      </c>
      <c r="K3405" t="s">
        <v>180</v>
      </c>
      <c r="L3405">
        <v>200066447</v>
      </c>
    </row>
    <row r="3406" spans="3:12">
      <c r="C3406">
        <v>2100300025</v>
      </c>
      <c r="D3406">
        <v>6426000</v>
      </c>
      <c r="E3406" t="s">
        <v>188</v>
      </c>
      <c r="F3406">
        <v>5210010105</v>
      </c>
      <c r="G3406" s="13">
        <v>-303000</v>
      </c>
      <c r="I3406" t="s">
        <v>179</v>
      </c>
      <c r="J3406" t="s">
        <v>943</v>
      </c>
      <c r="K3406" t="s">
        <v>180</v>
      </c>
      <c r="L3406">
        <v>200066448</v>
      </c>
    </row>
    <row r="3407" spans="3:12">
      <c r="C3407">
        <v>2100300025</v>
      </c>
      <c r="D3407">
        <v>6426000</v>
      </c>
      <c r="E3407" t="s">
        <v>188</v>
      </c>
      <c r="F3407">
        <v>5210010105</v>
      </c>
      <c r="G3407" s="13">
        <v>-19550</v>
      </c>
      <c r="I3407" t="s">
        <v>179</v>
      </c>
      <c r="J3407" t="s">
        <v>943</v>
      </c>
      <c r="K3407" t="s">
        <v>180</v>
      </c>
      <c r="L3407">
        <v>200066451</v>
      </c>
    </row>
    <row r="3408" spans="3:12">
      <c r="C3408">
        <v>2100300025</v>
      </c>
      <c r="D3408">
        <v>6426000</v>
      </c>
      <c r="E3408" t="s">
        <v>188</v>
      </c>
      <c r="F3408">
        <v>5210010105</v>
      </c>
      <c r="G3408" s="13">
        <v>-92000</v>
      </c>
      <c r="I3408" t="s">
        <v>179</v>
      </c>
      <c r="J3408" t="s">
        <v>943</v>
      </c>
      <c r="K3408" t="s">
        <v>180</v>
      </c>
      <c r="L3408">
        <v>200066452</v>
      </c>
    </row>
    <row r="3409" spans="3:12">
      <c r="C3409">
        <v>2100300025</v>
      </c>
      <c r="D3409">
        <v>6426000</v>
      </c>
      <c r="E3409" t="s">
        <v>188</v>
      </c>
      <c r="F3409">
        <v>5210010105</v>
      </c>
      <c r="G3409" s="13">
        <v>-10500</v>
      </c>
      <c r="I3409" t="s">
        <v>179</v>
      </c>
      <c r="J3409" t="s">
        <v>943</v>
      </c>
      <c r="K3409" t="s">
        <v>180</v>
      </c>
      <c r="L3409">
        <v>200066453</v>
      </c>
    </row>
    <row r="3410" spans="3:12">
      <c r="C3410">
        <v>2100300025</v>
      </c>
      <c r="D3410">
        <v>6426000</v>
      </c>
      <c r="E3410" t="s">
        <v>188</v>
      </c>
      <c r="F3410">
        <v>5210010105</v>
      </c>
      <c r="G3410" s="13">
        <v>-123200</v>
      </c>
      <c r="I3410" t="s">
        <v>179</v>
      </c>
      <c r="J3410" t="s">
        <v>943</v>
      </c>
      <c r="K3410" t="s">
        <v>180</v>
      </c>
      <c r="L3410">
        <v>200066454</v>
      </c>
    </row>
    <row r="3411" spans="3:12">
      <c r="C3411">
        <v>2100300025</v>
      </c>
      <c r="D3411">
        <v>6426000</v>
      </c>
      <c r="E3411" t="s">
        <v>188</v>
      </c>
      <c r="F3411">
        <v>5210010105</v>
      </c>
      <c r="G3411" s="13">
        <v>-128000</v>
      </c>
      <c r="I3411" t="s">
        <v>179</v>
      </c>
      <c r="J3411" t="s">
        <v>943</v>
      </c>
      <c r="K3411" t="s">
        <v>180</v>
      </c>
      <c r="L3411">
        <v>200066455</v>
      </c>
    </row>
    <row r="3412" spans="3:12">
      <c r="C3412">
        <v>2100300025</v>
      </c>
      <c r="D3412">
        <v>6426000</v>
      </c>
      <c r="E3412" t="s">
        <v>188</v>
      </c>
      <c r="F3412">
        <v>5210010105</v>
      </c>
      <c r="G3412" s="13">
        <v>-424000</v>
      </c>
      <c r="I3412" t="s">
        <v>179</v>
      </c>
      <c r="J3412" t="s">
        <v>943</v>
      </c>
      <c r="K3412" t="s">
        <v>180</v>
      </c>
      <c r="L3412">
        <v>200066456</v>
      </c>
    </row>
    <row r="3413" spans="3:12">
      <c r="C3413">
        <v>2100300025</v>
      </c>
      <c r="D3413">
        <v>6426000</v>
      </c>
      <c r="E3413" t="s">
        <v>188</v>
      </c>
      <c r="F3413">
        <v>5210010105</v>
      </c>
      <c r="G3413" s="13">
        <v>6109</v>
      </c>
      <c r="I3413" t="s">
        <v>179</v>
      </c>
      <c r="J3413" t="s">
        <v>940</v>
      </c>
      <c r="K3413" t="s">
        <v>180</v>
      </c>
      <c r="L3413">
        <v>200070822</v>
      </c>
    </row>
    <row r="3414" spans="3:12">
      <c r="C3414">
        <v>2100300025</v>
      </c>
      <c r="D3414">
        <v>6426000</v>
      </c>
      <c r="E3414" t="s">
        <v>188</v>
      </c>
      <c r="F3414">
        <v>5210010105</v>
      </c>
      <c r="G3414">
        <v>492.2</v>
      </c>
      <c r="I3414" t="s">
        <v>179</v>
      </c>
      <c r="J3414" t="s">
        <v>940</v>
      </c>
      <c r="K3414" t="s">
        <v>180</v>
      </c>
      <c r="L3414">
        <v>200070485</v>
      </c>
    </row>
    <row r="3415" spans="3:12">
      <c r="C3415">
        <v>2100300025</v>
      </c>
      <c r="D3415">
        <v>6426000</v>
      </c>
      <c r="E3415" t="s">
        <v>188</v>
      </c>
      <c r="F3415">
        <v>5210010105</v>
      </c>
      <c r="G3415" s="13">
        <v>1920</v>
      </c>
      <c r="I3415" t="s">
        <v>179</v>
      </c>
      <c r="J3415" t="s">
        <v>944</v>
      </c>
      <c r="K3415" t="s">
        <v>180</v>
      </c>
      <c r="L3415">
        <v>200074559</v>
      </c>
    </row>
    <row r="3416" spans="3:12">
      <c r="C3416">
        <v>2100300025</v>
      </c>
      <c r="D3416">
        <v>6426000</v>
      </c>
      <c r="E3416" t="s">
        <v>188</v>
      </c>
      <c r="F3416">
        <v>5210010105</v>
      </c>
      <c r="G3416" s="13">
        <v>185000</v>
      </c>
      <c r="I3416" t="s">
        <v>179</v>
      </c>
      <c r="J3416" t="s">
        <v>841</v>
      </c>
      <c r="K3416" t="s">
        <v>180</v>
      </c>
      <c r="L3416">
        <v>200074226</v>
      </c>
    </row>
    <row r="3417" spans="3:12">
      <c r="C3417">
        <v>2100300025</v>
      </c>
      <c r="D3417">
        <v>6426000</v>
      </c>
      <c r="E3417" t="s">
        <v>188</v>
      </c>
      <c r="F3417">
        <v>5210010105</v>
      </c>
      <c r="G3417" s="13">
        <v>105000</v>
      </c>
      <c r="I3417" t="s">
        <v>179</v>
      </c>
      <c r="J3417" t="s">
        <v>841</v>
      </c>
      <c r="K3417" t="s">
        <v>180</v>
      </c>
      <c r="L3417">
        <v>200074154</v>
      </c>
    </row>
    <row r="3418" spans="3:12">
      <c r="C3418">
        <v>2100300025</v>
      </c>
      <c r="D3418">
        <v>6426000</v>
      </c>
      <c r="E3418" t="s">
        <v>188</v>
      </c>
      <c r="F3418">
        <v>5210010105</v>
      </c>
      <c r="G3418">
        <v>158.1</v>
      </c>
      <c r="I3418" t="s">
        <v>179</v>
      </c>
      <c r="J3418" t="s">
        <v>841</v>
      </c>
      <c r="K3418" t="s">
        <v>180</v>
      </c>
      <c r="L3418">
        <v>200074233</v>
      </c>
    </row>
    <row r="3419" spans="3:12">
      <c r="C3419">
        <v>2100300025</v>
      </c>
      <c r="D3419">
        <v>6426000</v>
      </c>
      <c r="E3419" t="s">
        <v>188</v>
      </c>
      <c r="F3419">
        <v>5210010105</v>
      </c>
      <c r="G3419" s="13">
        <v>134200</v>
      </c>
      <c r="I3419" t="s">
        <v>179</v>
      </c>
      <c r="J3419" t="s">
        <v>942</v>
      </c>
      <c r="K3419" t="s">
        <v>180</v>
      </c>
      <c r="L3419">
        <v>200069982</v>
      </c>
    </row>
    <row r="3420" spans="3:12">
      <c r="C3420">
        <v>2100300025</v>
      </c>
      <c r="D3420">
        <v>6426000</v>
      </c>
      <c r="E3420" t="s">
        <v>188</v>
      </c>
      <c r="F3420">
        <v>5210010105</v>
      </c>
      <c r="G3420" s="13">
        <v>4825785.5999999996</v>
      </c>
      <c r="I3420" t="s">
        <v>179</v>
      </c>
      <c r="J3420" t="s">
        <v>942</v>
      </c>
      <c r="K3420" t="s">
        <v>180</v>
      </c>
      <c r="L3420">
        <v>200069983</v>
      </c>
    </row>
    <row r="3421" spans="3:12">
      <c r="C3421">
        <v>2100300025</v>
      </c>
      <c r="D3421">
        <v>6426000</v>
      </c>
      <c r="E3421" t="s">
        <v>188</v>
      </c>
      <c r="F3421">
        <v>5210010105</v>
      </c>
      <c r="G3421" s="13">
        <v>49549.2</v>
      </c>
      <c r="I3421" t="s">
        <v>179</v>
      </c>
      <c r="J3421" t="s">
        <v>841</v>
      </c>
      <c r="K3421" t="s">
        <v>180</v>
      </c>
      <c r="L3421">
        <v>200073720</v>
      </c>
    </row>
    <row r="3422" spans="3:12">
      <c r="C3422">
        <v>2100300025</v>
      </c>
      <c r="D3422">
        <v>6426000</v>
      </c>
      <c r="E3422" t="s">
        <v>188</v>
      </c>
      <c r="F3422">
        <v>5210010105</v>
      </c>
      <c r="G3422" s="13">
        <v>11153.7</v>
      </c>
      <c r="I3422" t="s">
        <v>179</v>
      </c>
      <c r="J3422" t="s">
        <v>841</v>
      </c>
      <c r="K3422" t="s">
        <v>180</v>
      </c>
      <c r="L3422">
        <v>200073354</v>
      </c>
    </row>
    <row r="3423" spans="3:12">
      <c r="C3423">
        <v>2100300025</v>
      </c>
      <c r="D3423">
        <v>6426000</v>
      </c>
      <c r="E3423" t="s">
        <v>188</v>
      </c>
      <c r="F3423">
        <v>5210010105</v>
      </c>
      <c r="G3423" s="13">
        <v>8250</v>
      </c>
      <c r="I3423" t="s">
        <v>179</v>
      </c>
      <c r="J3423" t="s">
        <v>841</v>
      </c>
      <c r="K3423" t="s">
        <v>180</v>
      </c>
      <c r="L3423">
        <v>200065370</v>
      </c>
    </row>
    <row r="3424" spans="3:12">
      <c r="C3424">
        <v>2100300025</v>
      </c>
      <c r="D3424">
        <v>6426000</v>
      </c>
      <c r="E3424" t="s">
        <v>188</v>
      </c>
      <c r="F3424">
        <v>5210010105</v>
      </c>
      <c r="G3424">
        <v>593.09</v>
      </c>
      <c r="I3424" t="s">
        <v>179</v>
      </c>
      <c r="J3424" t="s">
        <v>841</v>
      </c>
      <c r="K3424" t="s">
        <v>180</v>
      </c>
      <c r="L3424">
        <v>200073592</v>
      </c>
    </row>
    <row r="3425" spans="3:12">
      <c r="C3425">
        <v>2100300025</v>
      </c>
      <c r="D3425">
        <v>6426000</v>
      </c>
      <c r="E3425" t="s">
        <v>188</v>
      </c>
      <c r="F3425">
        <v>5210010105</v>
      </c>
      <c r="G3425" s="13">
        <v>12840</v>
      </c>
      <c r="I3425" t="s">
        <v>179</v>
      </c>
      <c r="J3425" t="s">
        <v>841</v>
      </c>
      <c r="K3425" t="s">
        <v>180</v>
      </c>
      <c r="L3425">
        <v>200074004</v>
      </c>
    </row>
    <row r="3426" spans="3:12">
      <c r="C3426">
        <v>2100300025</v>
      </c>
      <c r="D3426">
        <v>6426000</v>
      </c>
      <c r="E3426" t="s">
        <v>188</v>
      </c>
      <c r="F3426">
        <v>5210010105</v>
      </c>
      <c r="G3426">
        <v>965</v>
      </c>
      <c r="I3426" t="s">
        <v>179</v>
      </c>
      <c r="J3426" t="s">
        <v>841</v>
      </c>
      <c r="K3426" t="s">
        <v>180</v>
      </c>
      <c r="L3426">
        <v>200073721</v>
      </c>
    </row>
    <row r="3427" spans="3:12">
      <c r="C3427">
        <v>2100300025</v>
      </c>
      <c r="D3427">
        <v>6426000</v>
      </c>
      <c r="E3427" t="s">
        <v>188</v>
      </c>
      <c r="F3427">
        <v>5210010105</v>
      </c>
      <c r="G3427" s="13">
        <v>1333.22</v>
      </c>
      <c r="I3427" t="s">
        <v>179</v>
      </c>
      <c r="J3427" t="s">
        <v>841</v>
      </c>
      <c r="K3427" t="s">
        <v>180</v>
      </c>
      <c r="L3427">
        <v>200073722</v>
      </c>
    </row>
    <row r="3428" spans="3:12">
      <c r="C3428">
        <v>2100300025</v>
      </c>
      <c r="D3428">
        <v>6426000</v>
      </c>
      <c r="E3428" t="s">
        <v>188</v>
      </c>
      <c r="F3428">
        <v>5210010105</v>
      </c>
      <c r="G3428" s="13">
        <v>1050</v>
      </c>
      <c r="I3428" t="s">
        <v>179</v>
      </c>
      <c r="J3428" t="s">
        <v>841</v>
      </c>
      <c r="K3428" t="s">
        <v>180</v>
      </c>
      <c r="L3428">
        <v>200074130</v>
      </c>
    </row>
    <row r="3429" spans="3:12">
      <c r="C3429">
        <v>2100300025</v>
      </c>
      <c r="D3429">
        <v>6426000</v>
      </c>
      <c r="E3429" t="s">
        <v>188</v>
      </c>
      <c r="F3429">
        <v>5210010105</v>
      </c>
      <c r="G3429">
        <v>450</v>
      </c>
      <c r="I3429" t="s">
        <v>179</v>
      </c>
      <c r="J3429" t="s">
        <v>841</v>
      </c>
      <c r="K3429" t="s">
        <v>180</v>
      </c>
      <c r="L3429">
        <v>200074131</v>
      </c>
    </row>
    <row r="3430" spans="3:12">
      <c r="C3430">
        <v>2100300025</v>
      </c>
      <c r="D3430">
        <v>6426000</v>
      </c>
      <c r="E3430" t="s">
        <v>188</v>
      </c>
      <c r="F3430">
        <v>5210010105</v>
      </c>
      <c r="G3430" s="13">
        <v>4500</v>
      </c>
      <c r="I3430" t="s">
        <v>179</v>
      </c>
      <c r="J3430" t="s">
        <v>841</v>
      </c>
      <c r="K3430" t="s">
        <v>180</v>
      </c>
      <c r="L3430">
        <v>200074132</v>
      </c>
    </row>
    <row r="3431" spans="3:12">
      <c r="C3431">
        <v>2100300025</v>
      </c>
      <c r="D3431">
        <v>6426000</v>
      </c>
      <c r="E3431" t="s">
        <v>188</v>
      </c>
      <c r="F3431">
        <v>5210010105</v>
      </c>
      <c r="G3431">
        <v>375</v>
      </c>
      <c r="I3431" t="s">
        <v>179</v>
      </c>
      <c r="J3431" t="s">
        <v>841</v>
      </c>
      <c r="K3431" t="s">
        <v>180</v>
      </c>
      <c r="L3431">
        <v>200074133</v>
      </c>
    </row>
    <row r="3432" spans="3:12">
      <c r="C3432">
        <v>2100300025</v>
      </c>
      <c r="D3432">
        <v>6426000</v>
      </c>
      <c r="E3432" t="s">
        <v>188</v>
      </c>
      <c r="F3432">
        <v>5210010105</v>
      </c>
      <c r="G3432" s="13">
        <v>12840</v>
      </c>
      <c r="I3432" t="s">
        <v>179</v>
      </c>
      <c r="J3432" t="s">
        <v>945</v>
      </c>
      <c r="K3432" t="s">
        <v>180</v>
      </c>
      <c r="L3432">
        <v>200076122</v>
      </c>
    </row>
    <row r="3433" spans="3:12">
      <c r="C3433">
        <v>2100300025</v>
      </c>
      <c r="D3433">
        <v>6426000</v>
      </c>
      <c r="E3433" t="s">
        <v>188</v>
      </c>
      <c r="F3433">
        <v>5210010105</v>
      </c>
      <c r="G3433" s="13">
        <v>2350</v>
      </c>
      <c r="I3433" t="s">
        <v>179</v>
      </c>
      <c r="J3433" t="s">
        <v>945</v>
      </c>
      <c r="K3433" t="s">
        <v>180</v>
      </c>
      <c r="L3433">
        <v>200076203</v>
      </c>
    </row>
    <row r="3434" spans="3:12">
      <c r="C3434">
        <v>2100300025</v>
      </c>
      <c r="D3434">
        <v>6426000</v>
      </c>
      <c r="E3434" t="s">
        <v>188</v>
      </c>
      <c r="F3434">
        <v>5210010105</v>
      </c>
      <c r="G3434" s="13">
        <v>4300</v>
      </c>
      <c r="I3434" t="s">
        <v>179</v>
      </c>
      <c r="J3434" t="s">
        <v>945</v>
      </c>
      <c r="K3434" t="s">
        <v>180</v>
      </c>
      <c r="L3434">
        <v>200073482</v>
      </c>
    </row>
    <row r="3435" spans="3:12">
      <c r="C3435">
        <v>2100300025</v>
      </c>
      <c r="D3435">
        <v>6426000</v>
      </c>
      <c r="E3435" t="s">
        <v>188</v>
      </c>
      <c r="F3435">
        <v>5210010105</v>
      </c>
      <c r="G3435" s="13">
        <v>1123.5</v>
      </c>
      <c r="I3435" t="s">
        <v>179</v>
      </c>
      <c r="J3435" t="s">
        <v>945</v>
      </c>
      <c r="K3435" t="s">
        <v>180</v>
      </c>
      <c r="L3435">
        <v>200076204</v>
      </c>
    </row>
    <row r="3436" spans="3:12">
      <c r="C3436">
        <v>2100300025</v>
      </c>
      <c r="D3436">
        <v>6426000</v>
      </c>
      <c r="E3436" t="s">
        <v>188</v>
      </c>
      <c r="F3436">
        <v>5210010105</v>
      </c>
      <c r="G3436" s="13">
        <v>7738</v>
      </c>
      <c r="I3436" t="s">
        <v>179</v>
      </c>
      <c r="J3436" t="s">
        <v>945</v>
      </c>
      <c r="K3436" t="s">
        <v>180</v>
      </c>
      <c r="L3436">
        <v>200076211</v>
      </c>
    </row>
    <row r="3437" spans="3:12">
      <c r="C3437">
        <v>2100300025</v>
      </c>
      <c r="D3437">
        <v>6426000</v>
      </c>
      <c r="E3437" t="s">
        <v>188</v>
      </c>
      <c r="F3437">
        <v>5210010105</v>
      </c>
      <c r="G3437" s="13">
        <v>12670</v>
      </c>
      <c r="I3437" t="s">
        <v>179</v>
      </c>
      <c r="J3437" t="s">
        <v>945</v>
      </c>
      <c r="K3437" t="s">
        <v>180</v>
      </c>
      <c r="L3437">
        <v>200075670</v>
      </c>
    </row>
    <row r="3438" spans="3:12">
      <c r="C3438">
        <v>2100300025</v>
      </c>
      <c r="D3438">
        <v>6426000</v>
      </c>
      <c r="E3438" t="s">
        <v>188</v>
      </c>
      <c r="F3438">
        <v>5210010105</v>
      </c>
      <c r="G3438" s="13">
        <v>5827</v>
      </c>
      <c r="I3438" t="s">
        <v>179</v>
      </c>
      <c r="J3438" t="s">
        <v>945</v>
      </c>
      <c r="K3438" t="s">
        <v>180</v>
      </c>
      <c r="L3438">
        <v>200076215</v>
      </c>
    </row>
    <row r="3439" spans="3:12">
      <c r="C3439">
        <v>2100300025</v>
      </c>
      <c r="D3439">
        <v>6426000</v>
      </c>
      <c r="E3439" t="s">
        <v>188</v>
      </c>
      <c r="F3439">
        <v>5210010105</v>
      </c>
      <c r="G3439" s="13">
        <v>12000</v>
      </c>
      <c r="I3439" t="s">
        <v>179</v>
      </c>
      <c r="J3439" t="s">
        <v>945</v>
      </c>
      <c r="K3439" t="s">
        <v>180</v>
      </c>
      <c r="L3439">
        <v>200076216</v>
      </c>
    </row>
    <row r="3440" spans="3:12">
      <c r="C3440">
        <v>2100300025</v>
      </c>
      <c r="D3440">
        <v>6426000</v>
      </c>
      <c r="E3440" t="s">
        <v>188</v>
      </c>
      <c r="F3440">
        <v>5210010105</v>
      </c>
      <c r="G3440" s="13">
        <v>171000</v>
      </c>
      <c r="I3440" t="s">
        <v>179</v>
      </c>
      <c r="J3440" t="s">
        <v>945</v>
      </c>
      <c r="K3440" t="s">
        <v>180</v>
      </c>
      <c r="L3440">
        <v>200073915</v>
      </c>
    </row>
    <row r="3441" spans="3:12">
      <c r="C3441">
        <v>2100300025</v>
      </c>
      <c r="D3441">
        <v>6426000</v>
      </c>
      <c r="E3441" t="s">
        <v>188</v>
      </c>
      <c r="F3441">
        <v>5210010105</v>
      </c>
      <c r="G3441" s="13">
        <v>897600</v>
      </c>
      <c r="I3441" t="s">
        <v>179</v>
      </c>
      <c r="J3441" t="s">
        <v>943</v>
      </c>
      <c r="K3441" t="s">
        <v>180</v>
      </c>
      <c r="L3441">
        <v>200065664</v>
      </c>
    </row>
    <row r="3442" spans="3:12">
      <c r="C3442">
        <v>2100300025</v>
      </c>
      <c r="D3442">
        <v>6426000</v>
      </c>
      <c r="E3442" t="s">
        <v>188</v>
      </c>
      <c r="F3442">
        <v>5210010105</v>
      </c>
      <c r="G3442" s="13">
        <v>2000</v>
      </c>
      <c r="I3442" t="s">
        <v>179</v>
      </c>
      <c r="J3442" t="s">
        <v>942</v>
      </c>
      <c r="K3442" t="s">
        <v>180</v>
      </c>
      <c r="L3442">
        <v>200068370</v>
      </c>
    </row>
    <row r="3443" spans="3:12">
      <c r="C3443">
        <v>2100300025</v>
      </c>
      <c r="D3443">
        <v>6426000</v>
      </c>
      <c r="E3443" t="s">
        <v>188</v>
      </c>
      <c r="F3443">
        <v>5210010105</v>
      </c>
      <c r="G3443" s="13">
        <v>20311</v>
      </c>
      <c r="I3443" t="s">
        <v>179</v>
      </c>
      <c r="J3443" t="s">
        <v>942</v>
      </c>
      <c r="K3443" t="s">
        <v>180</v>
      </c>
      <c r="L3443">
        <v>200068371</v>
      </c>
    </row>
    <row r="3444" spans="3:12">
      <c r="C3444">
        <v>2100300025</v>
      </c>
      <c r="D3444">
        <v>6426000</v>
      </c>
      <c r="E3444" t="s">
        <v>188</v>
      </c>
      <c r="F3444">
        <v>5210010105</v>
      </c>
      <c r="G3444" s="13">
        <v>484314</v>
      </c>
      <c r="I3444" t="s">
        <v>179</v>
      </c>
      <c r="J3444" t="s">
        <v>942</v>
      </c>
      <c r="K3444" t="s">
        <v>180</v>
      </c>
      <c r="L3444">
        <v>200069228</v>
      </c>
    </row>
    <row r="3445" spans="3:12">
      <c r="C3445">
        <v>2100300025</v>
      </c>
      <c r="D3445">
        <v>6426000</v>
      </c>
      <c r="E3445" t="s">
        <v>188</v>
      </c>
      <c r="F3445">
        <v>5210010105</v>
      </c>
      <c r="G3445" s="13">
        <v>32800</v>
      </c>
      <c r="I3445" t="s">
        <v>179</v>
      </c>
      <c r="J3445" t="s">
        <v>942</v>
      </c>
      <c r="K3445" t="s">
        <v>180</v>
      </c>
      <c r="L3445">
        <v>200069373</v>
      </c>
    </row>
    <row r="3446" spans="3:12">
      <c r="C3446">
        <v>2100300025</v>
      </c>
      <c r="D3446">
        <v>6426000</v>
      </c>
      <c r="E3446" t="s">
        <v>188</v>
      </c>
      <c r="F3446">
        <v>5210010105</v>
      </c>
      <c r="G3446" s="13">
        <v>24412.9</v>
      </c>
      <c r="I3446" t="s">
        <v>179</v>
      </c>
      <c r="J3446" t="s">
        <v>942</v>
      </c>
      <c r="K3446" t="s">
        <v>180</v>
      </c>
      <c r="L3446">
        <v>200069374</v>
      </c>
    </row>
    <row r="3447" spans="3:12">
      <c r="C3447">
        <v>2100300025</v>
      </c>
      <c r="D3447">
        <v>6426000</v>
      </c>
      <c r="E3447" t="s">
        <v>188</v>
      </c>
      <c r="F3447">
        <v>5210010105</v>
      </c>
      <c r="G3447" s="13">
        <v>52349.5</v>
      </c>
      <c r="I3447" t="s">
        <v>179</v>
      </c>
      <c r="J3447" t="s">
        <v>942</v>
      </c>
      <c r="K3447" t="s">
        <v>180</v>
      </c>
      <c r="L3447">
        <v>200069375</v>
      </c>
    </row>
    <row r="3448" spans="3:12">
      <c r="C3448">
        <v>2100300025</v>
      </c>
      <c r="D3448">
        <v>6426000</v>
      </c>
      <c r="E3448" t="s">
        <v>188</v>
      </c>
      <c r="F3448">
        <v>5210010105</v>
      </c>
      <c r="G3448" s="13">
        <v>1653.15</v>
      </c>
      <c r="I3448" t="s">
        <v>179</v>
      </c>
      <c r="J3448" t="s">
        <v>942</v>
      </c>
      <c r="K3448" t="s">
        <v>180</v>
      </c>
      <c r="L3448">
        <v>200069376</v>
      </c>
    </row>
    <row r="3449" spans="3:12">
      <c r="C3449">
        <v>2100300025</v>
      </c>
      <c r="D3449">
        <v>6426000</v>
      </c>
      <c r="E3449" t="s">
        <v>188</v>
      </c>
      <c r="F3449">
        <v>5210010105</v>
      </c>
      <c r="G3449" s="13">
        <v>1284</v>
      </c>
      <c r="I3449" t="s">
        <v>179</v>
      </c>
      <c r="J3449" t="s">
        <v>843</v>
      </c>
      <c r="K3449" t="s">
        <v>180</v>
      </c>
      <c r="L3449">
        <v>200073223</v>
      </c>
    </row>
    <row r="3450" spans="3:12">
      <c r="C3450">
        <v>2100300025</v>
      </c>
      <c r="D3450">
        <v>6426000</v>
      </c>
      <c r="E3450" t="s">
        <v>188</v>
      </c>
      <c r="F3450">
        <v>5210010105</v>
      </c>
      <c r="G3450" s="13">
        <v>1915</v>
      </c>
      <c r="I3450" t="s">
        <v>179</v>
      </c>
      <c r="J3450" t="s">
        <v>843</v>
      </c>
      <c r="K3450" t="s">
        <v>180</v>
      </c>
      <c r="L3450">
        <v>200072778</v>
      </c>
    </row>
    <row r="3451" spans="3:12">
      <c r="C3451">
        <v>2100300025</v>
      </c>
      <c r="D3451">
        <v>6426000</v>
      </c>
      <c r="E3451" t="s">
        <v>188</v>
      </c>
      <c r="F3451">
        <v>5210010105</v>
      </c>
      <c r="G3451">
        <v>400</v>
      </c>
      <c r="I3451" t="s">
        <v>179</v>
      </c>
      <c r="J3451" t="s">
        <v>843</v>
      </c>
      <c r="K3451" t="s">
        <v>180</v>
      </c>
      <c r="L3451">
        <v>200065364</v>
      </c>
    </row>
    <row r="3452" spans="3:12">
      <c r="C3452">
        <v>2100300025</v>
      </c>
      <c r="D3452">
        <v>6426000</v>
      </c>
      <c r="E3452" t="s">
        <v>188</v>
      </c>
      <c r="F3452">
        <v>5210010105</v>
      </c>
      <c r="G3452">
        <v>746.72</v>
      </c>
      <c r="I3452" t="s">
        <v>179</v>
      </c>
      <c r="J3452" t="s">
        <v>843</v>
      </c>
      <c r="K3452" t="s">
        <v>180</v>
      </c>
      <c r="L3452">
        <v>200070188</v>
      </c>
    </row>
    <row r="3453" spans="3:12">
      <c r="C3453">
        <v>2100300025</v>
      </c>
      <c r="D3453">
        <v>6426000</v>
      </c>
      <c r="E3453" t="s">
        <v>188</v>
      </c>
      <c r="F3453">
        <v>5210010105</v>
      </c>
      <c r="G3453">
        <v>180</v>
      </c>
      <c r="I3453" t="s">
        <v>179</v>
      </c>
      <c r="J3453" t="s">
        <v>843</v>
      </c>
      <c r="K3453" t="s">
        <v>180</v>
      </c>
      <c r="L3453">
        <v>200070189</v>
      </c>
    </row>
    <row r="3454" spans="3:12">
      <c r="C3454">
        <v>2100300025</v>
      </c>
      <c r="D3454">
        <v>6426000</v>
      </c>
      <c r="E3454" t="s">
        <v>188</v>
      </c>
      <c r="F3454">
        <v>5210010105</v>
      </c>
      <c r="G3454" s="13">
        <v>2900</v>
      </c>
      <c r="I3454" t="s">
        <v>179</v>
      </c>
      <c r="J3454" t="s">
        <v>844</v>
      </c>
      <c r="K3454" t="s">
        <v>180</v>
      </c>
      <c r="L3454">
        <v>200074400</v>
      </c>
    </row>
    <row r="3455" spans="3:12">
      <c r="C3455">
        <v>2100300025</v>
      </c>
      <c r="D3455">
        <v>6426000</v>
      </c>
      <c r="E3455" t="s">
        <v>188</v>
      </c>
      <c r="F3455">
        <v>5210010105</v>
      </c>
      <c r="G3455" s="13">
        <v>33940</v>
      </c>
      <c r="I3455" t="s">
        <v>179</v>
      </c>
      <c r="J3455" t="s">
        <v>844</v>
      </c>
      <c r="K3455" t="s">
        <v>180</v>
      </c>
      <c r="L3455">
        <v>200075603</v>
      </c>
    </row>
    <row r="3456" spans="3:12">
      <c r="C3456">
        <v>2100300025</v>
      </c>
      <c r="D3456">
        <v>6426000</v>
      </c>
      <c r="E3456" t="s">
        <v>188</v>
      </c>
      <c r="F3456">
        <v>5210010105</v>
      </c>
      <c r="G3456" s="13">
        <v>33972.5</v>
      </c>
      <c r="I3456" t="s">
        <v>179</v>
      </c>
      <c r="J3456" t="s">
        <v>844</v>
      </c>
      <c r="K3456" t="s">
        <v>180</v>
      </c>
      <c r="L3456">
        <v>200075604</v>
      </c>
    </row>
    <row r="3457" spans="3:12">
      <c r="C3457">
        <v>2100300025</v>
      </c>
      <c r="D3457">
        <v>6426000</v>
      </c>
      <c r="E3457" t="s">
        <v>188</v>
      </c>
      <c r="F3457">
        <v>5210010105</v>
      </c>
      <c r="G3457" s="13">
        <v>8136</v>
      </c>
      <c r="I3457" t="s">
        <v>179</v>
      </c>
      <c r="J3457" t="s">
        <v>561</v>
      </c>
      <c r="K3457" t="s">
        <v>180</v>
      </c>
      <c r="L3457">
        <v>200071450</v>
      </c>
    </row>
    <row r="3458" spans="3:12">
      <c r="C3458">
        <v>2100300025</v>
      </c>
      <c r="D3458">
        <v>6426000</v>
      </c>
      <c r="E3458" t="s">
        <v>188</v>
      </c>
      <c r="F3458">
        <v>5210010105</v>
      </c>
      <c r="G3458" s="13">
        <v>139597</v>
      </c>
      <c r="I3458" t="s">
        <v>179</v>
      </c>
      <c r="J3458" t="s">
        <v>561</v>
      </c>
      <c r="K3458" t="s">
        <v>180</v>
      </c>
      <c r="L3458">
        <v>200070665</v>
      </c>
    </row>
    <row r="3459" spans="3:12">
      <c r="C3459">
        <v>2100300025</v>
      </c>
      <c r="D3459">
        <v>6426000</v>
      </c>
      <c r="E3459" t="s">
        <v>188</v>
      </c>
      <c r="F3459">
        <v>5210010105</v>
      </c>
      <c r="G3459" s="13">
        <v>28135</v>
      </c>
      <c r="I3459" t="s">
        <v>179</v>
      </c>
      <c r="J3459" t="s">
        <v>561</v>
      </c>
      <c r="K3459" t="s">
        <v>180</v>
      </c>
      <c r="L3459">
        <v>200070666</v>
      </c>
    </row>
    <row r="3460" spans="3:12">
      <c r="C3460">
        <v>2100300025</v>
      </c>
      <c r="D3460">
        <v>6426000</v>
      </c>
      <c r="E3460" t="s">
        <v>188</v>
      </c>
      <c r="F3460">
        <v>5210010105</v>
      </c>
      <c r="G3460" s="13">
        <v>6500</v>
      </c>
      <c r="I3460" t="s">
        <v>179</v>
      </c>
      <c r="J3460" t="s">
        <v>561</v>
      </c>
      <c r="K3460" t="s">
        <v>180</v>
      </c>
      <c r="L3460">
        <v>200071454</v>
      </c>
    </row>
    <row r="3461" spans="3:12">
      <c r="C3461">
        <v>2100300025</v>
      </c>
      <c r="D3461">
        <v>6426000</v>
      </c>
      <c r="E3461" t="s">
        <v>188</v>
      </c>
      <c r="F3461">
        <v>5210010105</v>
      </c>
      <c r="G3461" s="13">
        <v>1500</v>
      </c>
      <c r="I3461" t="s">
        <v>179</v>
      </c>
      <c r="J3461" t="s">
        <v>561</v>
      </c>
      <c r="K3461" t="s">
        <v>180</v>
      </c>
      <c r="L3461">
        <v>200071457</v>
      </c>
    </row>
    <row r="3462" spans="3:12">
      <c r="C3462">
        <v>2100300025</v>
      </c>
      <c r="D3462">
        <v>6426000</v>
      </c>
      <c r="E3462" t="s">
        <v>188</v>
      </c>
      <c r="F3462">
        <v>5210010105</v>
      </c>
      <c r="G3462">
        <v>800</v>
      </c>
      <c r="I3462" t="s">
        <v>179</v>
      </c>
      <c r="J3462" t="s">
        <v>561</v>
      </c>
      <c r="K3462" t="s">
        <v>180</v>
      </c>
      <c r="L3462">
        <v>200070668</v>
      </c>
    </row>
    <row r="3463" spans="3:12">
      <c r="C3463">
        <v>2100300025</v>
      </c>
      <c r="D3463">
        <v>6426000</v>
      </c>
      <c r="E3463" t="s">
        <v>188</v>
      </c>
      <c r="F3463">
        <v>5210010105</v>
      </c>
      <c r="G3463" s="13">
        <v>1600</v>
      </c>
      <c r="I3463" t="s">
        <v>179</v>
      </c>
      <c r="J3463" t="s">
        <v>561</v>
      </c>
      <c r="K3463" t="s">
        <v>180</v>
      </c>
      <c r="L3463">
        <v>200070669</v>
      </c>
    </row>
    <row r="3464" spans="3:12">
      <c r="C3464">
        <v>2100300025</v>
      </c>
      <c r="D3464">
        <v>6426000</v>
      </c>
      <c r="E3464" t="s">
        <v>188</v>
      </c>
      <c r="F3464">
        <v>5210010105</v>
      </c>
      <c r="G3464" s="13">
        <v>2475</v>
      </c>
      <c r="I3464" t="s">
        <v>179</v>
      </c>
      <c r="J3464" t="s">
        <v>561</v>
      </c>
      <c r="K3464" t="s">
        <v>180</v>
      </c>
      <c r="L3464">
        <v>200070670</v>
      </c>
    </row>
    <row r="3465" spans="3:12">
      <c r="C3465">
        <v>2100300025</v>
      </c>
      <c r="D3465">
        <v>6426000</v>
      </c>
      <c r="E3465" t="s">
        <v>188</v>
      </c>
      <c r="F3465">
        <v>5210010105</v>
      </c>
      <c r="G3465" s="13">
        <v>2000</v>
      </c>
      <c r="I3465" t="s">
        <v>179</v>
      </c>
      <c r="J3465" t="s">
        <v>561</v>
      </c>
      <c r="K3465" t="s">
        <v>180</v>
      </c>
      <c r="L3465">
        <v>200070671</v>
      </c>
    </row>
    <row r="3466" spans="3:12">
      <c r="C3466">
        <v>2100300025</v>
      </c>
      <c r="D3466">
        <v>6426000</v>
      </c>
      <c r="E3466" t="s">
        <v>188</v>
      </c>
      <c r="F3466">
        <v>5210010105</v>
      </c>
      <c r="G3466" s="13">
        <v>1750</v>
      </c>
      <c r="I3466" t="s">
        <v>179</v>
      </c>
      <c r="J3466" t="s">
        <v>561</v>
      </c>
      <c r="K3466" t="s">
        <v>180</v>
      </c>
      <c r="L3466">
        <v>200069283</v>
      </c>
    </row>
    <row r="3467" spans="3:12">
      <c r="C3467">
        <v>2100300025</v>
      </c>
      <c r="D3467">
        <v>6426000</v>
      </c>
      <c r="E3467" t="s">
        <v>188</v>
      </c>
      <c r="F3467">
        <v>5210010105</v>
      </c>
      <c r="G3467" s="13">
        <v>24268</v>
      </c>
      <c r="I3467" t="s">
        <v>179</v>
      </c>
      <c r="J3467" t="s">
        <v>561</v>
      </c>
      <c r="K3467" t="s">
        <v>180</v>
      </c>
      <c r="L3467">
        <v>200070672</v>
      </c>
    </row>
    <row r="3468" spans="3:12">
      <c r="C3468">
        <v>2100300025</v>
      </c>
      <c r="D3468">
        <v>6426000</v>
      </c>
      <c r="E3468" t="s">
        <v>188</v>
      </c>
      <c r="F3468">
        <v>5210010105</v>
      </c>
      <c r="G3468">
        <v>560</v>
      </c>
      <c r="I3468" t="s">
        <v>179</v>
      </c>
      <c r="J3468" t="s">
        <v>561</v>
      </c>
      <c r="K3468" t="s">
        <v>180</v>
      </c>
      <c r="L3468">
        <v>200071458</v>
      </c>
    </row>
    <row r="3469" spans="3:12">
      <c r="C3469">
        <v>2100300025</v>
      </c>
      <c r="D3469">
        <v>6426000</v>
      </c>
      <c r="E3469" t="s">
        <v>188</v>
      </c>
      <c r="F3469">
        <v>5210010105</v>
      </c>
      <c r="G3469" s="13">
        <v>3600</v>
      </c>
      <c r="I3469" t="s">
        <v>179</v>
      </c>
      <c r="J3469" t="s">
        <v>561</v>
      </c>
      <c r="K3469" t="s">
        <v>180</v>
      </c>
      <c r="L3469">
        <v>200071518</v>
      </c>
    </row>
    <row r="3470" spans="3:12">
      <c r="C3470">
        <v>2100300025</v>
      </c>
      <c r="D3470">
        <v>6426000</v>
      </c>
      <c r="E3470" t="s">
        <v>188</v>
      </c>
      <c r="F3470">
        <v>5210010105</v>
      </c>
      <c r="G3470">
        <v>125</v>
      </c>
      <c r="I3470" t="s">
        <v>179</v>
      </c>
      <c r="J3470" t="s">
        <v>561</v>
      </c>
      <c r="K3470" t="s">
        <v>180</v>
      </c>
      <c r="L3470">
        <v>200068950</v>
      </c>
    </row>
    <row r="3471" spans="3:12">
      <c r="C3471">
        <v>2100300025</v>
      </c>
      <c r="D3471">
        <v>6426000</v>
      </c>
      <c r="E3471" t="s">
        <v>188</v>
      </c>
      <c r="F3471">
        <v>5210010105</v>
      </c>
      <c r="G3471" s="13">
        <v>1000</v>
      </c>
      <c r="I3471" t="s">
        <v>179</v>
      </c>
      <c r="J3471" t="s">
        <v>561</v>
      </c>
      <c r="K3471" t="s">
        <v>180</v>
      </c>
      <c r="L3471">
        <v>200068951</v>
      </c>
    </row>
    <row r="3472" spans="3:12">
      <c r="C3472">
        <v>2100300025</v>
      </c>
      <c r="D3472">
        <v>6426000</v>
      </c>
      <c r="E3472" t="s">
        <v>188</v>
      </c>
      <c r="F3472">
        <v>5210010105</v>
      </c>
      <c r="G3472" s="13">
        <v>2000</v>
      </c>
      <c r="I3472" t="s">
        <v>179</v>
      </c>
      <c r="J3472" t="s">
        <v>561</v>
      </c>
      <c r="K3472" t="s">
        <v>180</v>
      </c>
      <c r="L3472">
        <v>200068952</v>
      </c>
    </row>
    <row r="3473" spans="3:12">
      <c r="C3473">
        <v>2100300025</v>
      </c>
      <c r="D3473">
        <v>6426000</v>
      </c>
      <c r="E3473" t="s">
        <v>188</v>
      </c>
      <c r="F3473">
        <v>5210010105</v>
      </c>
      <c r="G3473">
        <v>688.62</v>
      </c>
      <c r="I3473" t="s">
        <v>179</v>
      </c>
      <c r="J3473" t="s">
        <v>561</v>
      </c>
      <c r="K3473" t="s">
        <v>180</v>
      </c>
      <c r="L3473">
        <v>200071519</v>
      </c>
    </row>
    <row r="3474" spans="3:12">
      <c r="C3474">
        <v>2100300025</v>
      </c>
      <c r="D3474">
        <v>6426000</v>
      </c>
      <c r="E3474" t="s">
        <v>188</v>
      </c>
      <c r="F3474">
        <v>5210010105</v>
      </c>
      <c r="G3474" s="13">
        <v>2448000</v>
      </c>
      <c r="I3474" t="s">
        <v>179</v>
      </c>
      <c r="J3474" t="s">
        <v>844</v>
      </c>
      <c r="K3474" t="s">
        <v>180</v>
      </c>
      <c r="L3474">
        <v>200075045</v>
      </c>
    </row>
    <row r="3475" spans="3:12">
      <c r="C3475">
        <v>2100300025</v>
      </c>
      <c r="D3475">
        <v>6426000</v>
      </c>
      <c r="E3475" t="s">
        <v>188</v>
      </c>
      <c r="F3475">
        <v>5210010105</v>
      </c>
      <c r="G3475" s="13">
        <v>-60032</v>
      </c>
      <c r="I3475" t="s">
        <v>179</v>
      </c>
      <c r="J3475" t="s">
        <v>946</v>
      </c>
      <c r="K3475" t="s">
        <v>180</v>
      </c>
      <c r="L3475">
        <v>200084328</v>
      </c>
    </row>
    <row r="3476" spans="3:12">
      <c r="C3476">
        <v>2100300025</v>
      </c>
      <c r="D3476">
        <v>6426000</v>
      </c>
      <c r="E3476" t="s">
        <v>188</v>
      </c>
      <c r="F3476">
        <v>5210010105</v>
      </c>
      <c r="G3476" s="13">
        <v>-17201.52</v>
      </c>
      <c r="I3476" t="s">
        <v>179</v>
      </c>
      <c r="J3476" t="s">
        <v>946</v>
      </c>
      <c r="K3476" t="s">
        <v>180</v>
      </c>
      <c r="L3476">
        <v>200084329</v>
      </c>
    </row>
    <row r="3477" spans="3:12">
      <c r="C3477">
        <v>2100300025</v>
      </c>
      <c r="D3477">
        <v>6426000</v>
      </c>
      <c r="E3477" t="s">
        <v>188</v>
      </c>
      <c r="F3477">
        <v>5210010105</v>
      </c>
      <c r="G3477" s="13">
        <v>3000</v>
      </c>
      <c r="I3477" t="s">
        <v>179</v>
      </c>
      <c r="J3477" t="s">
        <v>947</v>
      </c>
      <c r="K3477" t="s">
        <v>180</v>
      </c>
      <c r="L3477">
        <v>200080741</v>
      </c>
    </row>
    <row r="3478" spans="3:12">
      <c r="C3478">
        <v>2100300025</v>
      </c>
      <c r="D3478">
        <v>6426000</v>
      </c>
      <c r="E3478" t="s">
        <v>188</v>
      </c>
      <c r="F3478">
        <v>5210010105</v>
      </c>
      <c r="G3478" s="13">
        <v>4000</v>
      </c>
      <c r="I3478" t="s">
        <v>179</v>
      </c>
      <c r="J3478" t="s">
        <v>947</v>
      </c>
      <c r="K3478" t="s">
        <v>180</v>
      </c>
      <c r="L3478">
        <v>200079557</v>
      </c>
    </row>
    <row r="3479" spans="3:12">
      <c r="C3479">
        <v>2100300025</v>
      </c>
      <c r="D3479">
        <v>6426000</v>
      </c>
      <c r="E3479" t="s">
        <v>188</v>
      </c>
      <c r="F3479">
        <v>5210010105</v>
      </c>
      <c r="G3479" s="13">
        <v>2675</v>
      </c>
      <c r="I3479" t="s">
        <v>179</v>
      </c>
      <c r="J3479" t="s">
        <v>947</v>
      </c>
      <c r="K3479" t="s">
        <v>180</v>
      </c>
      <c r="L3479">
        <v>200080655</v>
      </c>
    </row>
    <row r="3480" spans="3:12">
      <c r="C3480">
        <v>2100300025</v>
      </c>
      <c r="D3480">
        <v>6426000</v>
      </c>
      <c r="E3480" t="s">
        <v>188</v>
      </c>
      <c r="F3480">
        <v>5210010105</v>
      </c>
      <c r="G3480" s="13">
        <v>7500</v>
      </c>
      <c r="I3480" t="s">
        <v>179</v>
      </c>
      <c r="J3480" t="s">
        <v>947</v>
      </c>
      <c r="K3480" t="s">
        <v>180</v>
      </c>
      <c r="L3480">
        <v>200080742</v>
      </c>
    </row>
    <row r="3481" spans="3:12">
      <c r="C3481">
        <v>2100300025</v>
      </c>
      <c r="D3481">
        <v>6426000</v>
      </c>
      <c r="E3481" t="s">
        <v>188</v>
      </c>
      <c r="F3481">
        <v>5210010105</v>
      </c>
      <c r="G3481">
        <v>500</v>
      </c>
      <c r="I3481" t="s">
        <v>179</v>
      </c>
      <c r="J3481" t="s">
        <v>947</v>
      </c>
      <c r="K3481" t="s">
        <v>180</v>
      </c>
      <c r="L3481">
        <v>200080656</v>
      </c>
    </row>
    <row r="3482" spans="3:12">
      <c r="C3482">
        <v>2100300025</v>
      </c>
      <c r="D3482">
        <v>6426000</v>
      </c>
      <c r="E3482" t="s">
        <v>188</v>
      </c>
      <c r="F3482">
        <v>5210010105</v>
      </c>
      <c r="G3482">
        <v>630</v>
      </c>
      <c r="I3482" t="s">
        <v>179</v>
      </c>
      <c r="J3482" t="s">
        <v>947</v>
      </c>
      <c r="K3482" t="s">
        <v>180</v>
      </c>
      <c r="L3482">
        <v>200080657</v>
      </c>
    </row>
    <row r="3483" spans="3:12">
      <c r="C3483">
        <v>2100300025</v>
      </c>
      <c r="D3483">
        <v>6426000</v>
      </c>
      <c r="E3483" t="s">
        <v>188</v>
      </c>
      <c r="F3483">
        <v>5210010105</v>
      </c>
      <c r="G3483" s="13">
        <v>1363.21</v>
      </c>
      <c r="I3483" t="s">
        <v>179</v>
      </c>
      <c r="J3483" t="s">
        <v>946</v>
      </c>
      <c r="K3483" t="s">
        <v>180</v>
      </c>
      <c r="L3483">
        <v>200083795</v>
      </c>
    </row>
    <row r="3484" spans="3:12">
      <c r="C3484">
        <v>2100300025</v>
      </c>
      <c r="D3484">
        <v>6426000</v>
      </c>
      <c r="E3484" t="s">
        <v>188</v>
      </c>
      <c r="F3484">
        <v>5210010105</v>
      </c>
      <c r="G3484">
        <v>551.04999999999995</v>
      </c>
      <c r="I3484" t="s">
        <v>179</v>
      </c>
      <c r="J3484" t="s">
        <v>946</v>
      </c>
      <c r="K3484" t="s">
        <v>180</v>
      </c>
      <c r="L3484">
        <v>200083796</v>
      </c>
    </row>
    <row r="3485" spans="3:12">
      <c r="C3485">
        <v>2100300025</v>
      </c>
      <c r="D3485">
        <v>6426000</v>
      </c>
      <c r="E3485" t="s">
        <v>188</v>
      </c>
      <c r="F3485">
        <v>5210010105</v>
      </c>
      <c r="G3485" s="13">
        <v>1256286</v>
      </c>
      <c r="I3485" t="s">
        <v>179</v>
      </c>
      <c r="J3485" t="s">
        <v>946</v>
      </c>
      <c r="K3485" t="s">
        <v>180</v>
      </c>
      <c r="L3485">
        <v>200084323</v>
      </c>
    </row>
    <row r="3486" spans="3:12">
      <c r="C3486">
        <v>2100300025</v>
      </c>
      <c r="D3486">
        <v>6426000</v>
      </c>
      <c r="E3486" t="s">
        <v>188</v>
      </c>
      <c r="F3486">
        <v>5210010105</v>
      </c>
      <c r="G3486" s="13">
        <v>60032</v>
      </c>
      <c r="I3486" t="s">
        <v>179</v>
      </c>
      <c r="J3486" t="s">
        <v>946</v>
      </c>
      <c r="K3486" t="s">
        <v>180</v>
      </c>
      <c r="L3486">
        <v>200084324</v>
      </c>
    </row>
    <row r="3487" spans="3:12">
      <c r="C3487">
        <v>2100300025</v>
      </c>
      <c r="D3487">
        <v>6426000</v>
      </c>
      <c r="E3487" t="s">
        <v>188</v>
      </c>
      <c r="F3487">
        <v>5210010105</v>
      </c>
      <c r="G3487" s="13">
        <v>3100</v>
      </c>
      <c r="I3487" t="s">
        <v>179</v>
      </c>
      <c r="J3487" t="s">
        <v>946</v>
      </c>
      <c r="K3487" t="s">
        <v>180</v>
      </c>
      <c r="L3487">
        <v>200084443</v>
      </c>
    </row>
    <row r="3488" spans="3:12">
      <c r="C3488">
        <v>2100300025</v>
      </c>
      <c r="D3488">
        <v>6426000</v>
      </c>
      <c r="E3488" t="s">
        <v>188</v>
      </c>
      <c r="F3488">
        <v>5210010105</v>
      </c>
      <c r="G3488" s="13">
        <v>15747</v>
      </c>
      <c r="I3488" t="s">
        <v>179</v>
      </c>
      <c r="J3488" t="s">
        <v>946</v>
      </c>
      <c r="K3488" t="s">
        <v>180</v>
      </c>
      <c r="L3488">
        <v>200084444</v>
      </c>
    </row>
    <row r="3489" spans="3:12">
      <c r="C3489">
        <v>2100300025</v>
      </c>
      <c r="D3489">
        <v>6426000</v>
      </c>
      <c r="E3489" t="s">
        <v>188</v>
      </c>
      <c r="F3489">
        <v>5210010105</v>
      </c>
      <c r="G3489" s="13">
        <v>203673</v>
      </c>
      <c r="I3489" t="s">
        <v>179</v>
      </c>
      <c r="J3489" t="s">
        <v>946</v>
      </c>
      <c r="K3489" t="s">
        <v>180</v>
      </c>
      <c r="L3489">
        <v>200084445</v>
      </c>
    </row>
    <row r="3490" spans="3:12">
      <c r="C3490">
        <v>2100300025</v>
      </c>
      <c r="D3490">
        <v>6426000</v>
      </c>
      <c r="E3490" t="s">
        <v>188</v>
      </c>
      <c r="F3490">
        <v>5210010105</v>
      </c>
      <c r="G3490" s="13">
        <v>4950</v>
      </c>
      <c r="I3490" t="s">
        <v>179</v>
      </c>
      <c r="J3490" t="s">
        <v>559</v>
      </c>
      <c r="K3490" t="s">
        <v>180</v>
      </c>
      <c r="L3490">
        <v>200083498</v>
      </c>
    </row>
    <row r="3491" spans="3:12">
      <c r="C3491">
        <v>2100300025</v>
      </c>
      <c r="D3491">
        <v>6426000</v>
      </c>
      <c r="E3491" t="s">
        <v>188</v>
      </c>
      <c r="F3491">
        <v>5210010105</v>
      </c>
      <c r="G3491" s="13">
        <v>4600</v>
      </c>
      <c r="I3491" t="s">
        <v>179</v>
      </c>
      <c r="J3491" t="s">
        <v>559</v>
      </c>
      <c r="K3491" t="s">
        <v>180</v>
      </c>
      <c r="L3491">
        <v>200081876</v>
      </c>
    </row>
    <row r="3492" spans="3:12">
      <c r="C3492">
        <v>2100300025</v>
      </c>
      <c r="D3492">
        <v>6426000</v>
      </c>
      <c r="E3492" t="s">
        <v>188</v>
      </c>
      <c r="F3492">
        <v>5210010105</v>
      </c>
      <c r="G3492" s="13">
        <v>465180</v>
      </c>
      <c r="I3492" t="s">
        <v>179</v>
      </c>
      <c r="J3492" t="s">
        <v>559</v>
      </c>
      <c r="K3492" t="s">
        <v>180</v>
      </c>
      <c r="L3492">
        <v>200084802</v>
      </c>
    </row>
    <row r="3493" spans="3:12">
      <c r="C3493">
        <v>2100300025</v>
      </c>
      <c r="D3493">
        <v>6426000</v>
      </c>
      <c r="E3493" t="s">
        <v>188</v>
      </c>
      <c r="F3493">
        <v>5210010105</v>
      </c>
      <c r="G3493" s="13">
        <v>1256286</v>
      </c>
      <c r="I3493" t="s">
        <v>179</v>
      </c>
      <c r="J3493" t="s">
        <v>559</v>
      </c>
      <c r="K3493" t="s">
        <v>180</v>
      </c>
      <c r="L3493">
        <v>200084705</v>
      </c>
    </row>
    <row r="3494" spans="3:12">
      <c r="C3494">
        <v>2100300025</v>
      </c>
      <c r="D3494">
        <v>6426000</v>
      </c>
      <c r="E3494" t="s">
        <v>188</v>
      </c>
      <c r="F3494">
        <v>5210010105</v>
      </c>
      <c r="G3494" s="13">
        <v>30016</v>
      </c>
      <c r="I3494" t="s">
        <v>179</v>
      </c>
      <c r="J3494" t="s">
        <v>559</v>
      </c>
      <c r="K3494" t="s">
        <v>180</v>
      </c>
      <c r="L3494">
        <v>200084706</v>
      </c>
    </row>
    <row r="3495" spans="3:12">
      <c r="C3495">
        <v>2100300025</v>
      </c>
      <c r="D3495">
        <v>6426000</v>
      </c>
      <c r="E3495" t="s">
        <v>188</v>
      </c>
      <c r="F3495">
        <v>5210010105</v>
      </c>
      <c r="G3495" s="13">
        <v>17201.52</v>
      </c>
      <c r="I3495" t="s">
        <v>179</v>
      </c>
      <c r="J3495" t="s">
        <v>559</v>
      </c>
      <c r="K3495" t="s">
        <v>180</v>
      </c>
      <c r="L3495">
        <v>200084707</v>
      </c>
    </row>
    <row r="3496" spans="3:12">
      <c r="C3496">
        <v>2100300025</v>
      </c>
      <c r="D3496">
        <v>6426000</v>
      </c>
      <c r="E3496" t="s">
        <v>188</v>
      </c>
      <c r="F3496">
        <v>5210010105</v>
      </c>
      <c r="G3496">
        <v>250</v>
      </c>
      <c r="I3496" t="s">
        <v>179</v>
      </c>
      <c r="J3496" t="s">
        <v>948</v>
      </c>
      <c r="K3496" t="s">
        <v>180</v>
      </c>
      <c r="L3496">
        <v>200058020</v>
      </c>
    </row>
    <row r="3497" spans="3:12">
      <c r="C3497">
        <v>2100300025</v>
      </c>
      <c r="D3497">
        <v>6426000</v>
      </c>
      <c r="E3497" t="s">
        <v>188</v>
      </c>
      <c r="F3497">
        <v>5210010105</v>
      </c>
      <c r="G3497">
        <v>500</v>
      </c>
      <c r="I3497" t="s">
        <v>179</v>
      </c>
      <c r="J3497" t="s">
        <v>948</v>
      </c>
      <c r="K3497" t="s">
        <v>180</v>
      </c>
      <c r="L3497">
        <v>200058918</v>
      </c>
    </row>
    <row r="3498" spans="3:12">
      <c r="C3498">
        <v>2100300025</v>
      </c>
      <c r="D3498">
        <v>6426000</v>
      </c>
      <c r="E3498" t="s">
        <v>188</v>
      </c>
      <c r="F3498">
        <v>5210010105</v>
      </c>
      <c r="G3498" s="13">
        <v>3411</v>
      </c>
      <c r="I3498" t="s">
        <v>179</v>
      </c>
      <c r="J3498" t="s">
        <v>948</v>
      </c>
      <c r="K3498" t="s">
        <v>180</v>
      </c>
      <c r="L3498">
        <v>200074695</v>
      </c>
    </row>
    <row r="3499" spans="3:12">
      <c r="C3499">
        <v>2100300025</v>
      </c>
      <c r="D3499">
        <v>6426000</v>
      </c>
      <c r="E3499" t="s">
        <v>188</v>
      </c>
      <c r="F3499">
        <v>5210010105</v>
      </c>
      <c r="G3499" s="13">
        <v>6000</v>
      </c>
      <c r="I3499" t="s">
        <v>179</v>
      </c>
      <c r="J3499" t="s">
        <v>948</v>
      </c>
      <c r="K3499" t="s">
        <v>180</v>
      </c>
      <c r="L3499">
        <v>200078264</v>
      </c>
    </row>
    <row r="3500" spans="3:12">
      <c r="C3500">
        <v>2100300025</v>
      </c>
      <c r="D3500">
        <v>6426000</v>
      </c>
      <c r="E3500" t="s">
        <v>188</v>
      </c>
      <c r="F3500">
        <v>5210010105</v>
      </c>
      <c r="G3500" s="13">
        <v>2000</v>
      </c>
      <c r="I3500" t="s">
        <v>179</v>
      </c>
      <c r="J3500" t="s">
        <v>948</v>
      </c>
      <c r="K3500" t="s">
        <v>180</v>
      </c>
      <c r="L3500">
        <v>200078265</v>
      </c>
    </row>
    <row r="3501" spans="3:12">
      <c r="C3501">
        <v>2100300025</v>
      </c>
      <c r="D3501">
        <v>6426000</v>
      </c>
      <c r="E3501" t="s">
        <v>188</v>
      </c>
      <c r="F3501">
        <v>5210010105</v>
      </c>
      <c r="G3501" s="13">
        <v>15120</v>
      </c>
      <c r="I3501" t="s">
        <v>179</v>
      </c>
      <c r="J3501" t="s">
        <v>948</v>
      </c>
      <c r="K3501" t="s">
        <v>180</v>
      </c>
      <c r="L3501">
        <v>200078266</v>
      </c>
    </row>
    <row r="3502" spans="3:12">
      <c r="C3502">
        <v>2100300025</v>
      </c>
      <c r="D3502">
        <v>6426000</v>
      </c>
      <c r="E3502" t="s">
        <v>188</v>
      </c>
      <c r="F3502">
        <v>5210010105</v>
      </c>
      <c r="G3502">
        <v>125</v>
      </c>
      <c r="I3502" t="s">
        <v>179</v>
      </c>
      <c r="J3502" t="s">
        <v>948</v>
      </c>
      <c r="K3502" t="s">
        <v>180</v>
      </c>
      <c r="L3502">
        <v>200078185</v>
      </c>
    </row>
    <row r="3503" spans="3:12">
      <c r="C3503">
        <v>2100300025</v>
      </c>
      <c r="D3503">
        <v>6426000</v>
      </c>
      <c r="E3503" t="s">
        <v>188</v>
      </c>
      <c r="F3503">
        <v>5210010105</v>
      </c>
      <c r="G3503" s="13">
        <v>1000</v>
      </c>
      <c r="I3503" t="s">
        <v>179</v>
      </c>
      <c r="J3503" t="s">
        <v>948</v>
      </c>
      <c r="K3503" t="s">
        <v>180</v>
      </c>
      <c r="L3503">
        <v>200078186</v>
      </c>
    </row>
    <row r="3504" spans="3:12">
      <c r="C3504">
        <v>2100300025</v>
      </c>
      <c r="D3504">
        <v>6426000</v>
      </c>
      <c r="E3504" t="s">
        <v>188</v>
      </c>
      <c r="F3504">
        <v>5210010105</v>
      </c>
      <c r="G3504" s="13">
        <v>140009.5</v>
      </c>
      <c r="I3504" t="s">
        <v>179</v>
      </c>
      <c r="J3504" t="s">
        <v>948</v>
      </c>
      <c r="K3504" t="s">
        <v>180</v>
      </c>
      <c r="L3504">
        <v>200078187</v>
      </c>
    </row>
    <row r="3505" spans="3:12">
      <c r="C3505">
        <v>2100300025</v>
      </c>
      <c r="D3505">
        <v>6426000</v>
      </c>
      <c r="E3505" t="s">
        <v>188</v>
      </c>
      <c r="F3505">
        <v>5210010105</v>
      </c>
      <c r="G3505" s="13">
        <v>5110</v>
      </c>
      <c r="I3505" t="s">
        <v>179</v>
      </c>
      <c r="J3505" t="s">
        <v>948</v>
      </c>
      <c r="K3505" t="s">
        <v>180</v>
      </c>
      <c r="L3505">
        <v>200078188</v>
      </c>
    </row>
    <row r="3506" spans="3:12">
      <c r="C3506">
        <v>2100300025</v>
      </c>
      <c r="D3506">
        <v>6426000</v>
      </c>
      <c r="E3506" t="s">
        <v>188</v>
      </c>
      <c r="F3506">
        <v>5210010105</v>
      </c>
      <c r="G3506" s="13">
        <v>32500</v>
      </c>
      <c r="I3506" t="s">
        <v>179</v>
      </c>
      <c r="J3506" t="s">
        <v>948</v>
      </c>
      <c r="K3506" t="s">
        <v>180</v>
      </c>
      <c r="L3506">
        <v>200078120</v>
      </c>
    </row>
    <row r="3507" spans="3:12">
      <c r="C3507">
        <v>2100300025</v>
      </c>
      <c r="D3507">
        <v>6426000</v>
      </c>
      <c r="E3507" t="s">
        <v>188</v>
      </c>
      <c r="F3507">
        <v>5210010105</v>
      </c>
      <c r="G3507" s="13">
        <v>-63250</v>
      </c>
      <c r="I3507" t="s">
        <v>179</v>
      </c>
      <c r="J3507" t="s">
        <v>943</v>
      </c>
      <c r="K3507" t="s">
        <v>180</v>
      </c>
      <c r="L3507">
        <v>200066458</v>
      </c>
    </row>
    <row r="3508" spans="3:12">
      <c r="C3508">
        <v>2100300025</v>
      </c>
      <c r="D3508">
        <v>6426000</v>
      </c>
      <c r="E3508" t="s">
        <v>188</v>
      </c>
      <c r="F3508">
        <v>5210010105</v>
      </c>
      <c r="G3508" s="13">
        <v>42650</v>
      </c>
      <c r="I3508" t="s">
        <v>179</v>
      </c>
      <c r="J3508" t="s">
        <v>939</v>
      </c>
      <c r="K3508" t="s">
        <v>180</v>
      </c>
      <c r="L3508">
        <v>200069723</v>
      </c>
    </row>
    <row r="3509" spans="3:12">
      <c r="C3509">
        <v>2100300025</v>
      </c>
      <c r="D3509">
        <v>6426000</v>
      </c>
      <c r="E3509" t="s">
        <v>188</v>
      </c>
      <c r="F3509">
        <v>5210010105</v>
      </c>
      <c r="G3509" s="13">
        <v>28264</v>
      </c>
      <c r="I3509" t="s">
        <v>179</v>
      </c>
      <c r="J3509" t="s">
        <v>939</v>
      </c>
      <c r="K3509" t="s">
        <v>180</v>
      </c>
      <c r="L3509">
        <v>200068469</v>
      </c>
    </row>
    <row r="3510" spans="3:12">
      <c r="C3510">
        <v>2100300025</v>
      </c>
      <c r="D3510">
        <v>6426000</v>
      </c>
      <c r="E3510" t="s">
        <v>188</v>
      </c>
      <c r="F3510">
        <v>5210010105</v>
      </c>
      <c r="G3510" s="13">
        <v>40446</v>
      </c>
      <c r="I3510" t="s">
        <v>179</v>
      </c>
      <c r="J3510" t="s">
        <v>939</v>
      </c>
      <c r="K3510" t="s">
        <v>180</v>
      </c>
      <c r="L3510">
        <v>200064084</v>
      </c>
    </row>
    <row r="3511" spans="3:12">
      <c r="C3511">
        <v>2100300025</v>
      </c>
      <c r="D3511">
        <v>6426000</v>
      </c>
      <c r="E3511" t="s">
        <v>188</v>
      </c>
      <c r="F3511">
        <v>5210010105</v>
      </c>
      <c r="G3511" s="13">
        <v>65000</v>
      </c>
      <c r="I3511" t="s">
        <v>179</v>
      </c>
      <c r="J3511" t="s">
        <v>939</v>
      </c>
      <c r="K3511" t="s">
        <v>180</v>
      </c>
      <c r="L3511">
        <v>200068628</v>
      </c>
    </row>
    <row r="3512" spans="3:12">
      <c r="C3512">
        <v>2100300025</v>
      </c>
      <c r="D3512">
        <v>6426000</v>
      </c>
      <c r="E3512" t="s">
        <v>188</v>
      </c>
      <c r="F3512">
        <v>5210010105</v>
      </c>
      <c r="G3512" s="13">
        <v>11665</v>
      </c>
      <c r="I3512" t="s">
        <v>179</v>
      </c>
      <c r="J3512" t="s">
        <v>939</v>
      </c>
      <c r="K3512" t="s">
        <v>180</v>
      </c>
      <c r="L3512">
        <v>200069468</v>
      </c>
    </row>
    <row r="3513" spans="3:12">
      <c r="C3513">
        <v>2100300025</v>
      </c>
      <c r="D3513">
        <v>6426000</v>
      </c>
      <c r="E3513" t="s">
        <v>188</v>
      </c>
      <c r="F3513">
        <v>5210010105</v>
      </c>
      <c r="G3513" s="13">
        <v>35310</v>
      </c>
      <c r="I3513" t="s">
        <v>179</v>
      </c>
      <c r="J3513" t="s">
        <v>939</v>
      </c>
      <c r="K3513" t="s">
        <v>180</v>
      </c>
      <c r="L3513">
        <v>200069135</v>
      </c>
    </row>
    <row r="3514" spans="3:12">
      <c r="C3514">
        <v>2100300025</v>
      </c>
      <c r="D3514">
        <v>6426000</v>
      </c>
      <c r="E3514" t="s">
        <v>188</v>
      </c>
      <c r="F3514">
        <v>5210010105</v>
      </c>
      <c r="G3514" s="13">
        <v>6100</v>
      </c>
      <c r="I3514" t="s">
        <v>179</v>
      </c>
      <c r="J3514" t="s">
        <v>939</v>
      </c>
      <c r="K3514" t="s">
        <v>180</v>
      </c>
      <c r="L3514">
        <v>200069054</v>
      </c>
    </row>
    <row r="3515" spans="3:12">
      <c r="C3515">
        <v>2100300025</v>
      </c>
      <c r="D3515">
        <v>6426000</v>
      </c>
      <c r="E3515" t="s">
        <v>188</v>
      </c>
      <c r="F3515">
        <v>5210010105</v>
      </c>
      <c r="G3515" s="13">
        <v>76442</v>
      </c>
      <c r="I3515" t="s">
        <v>179</v>
      </c>
      <c r="J3515" t="s">
        <v>939</v>
      </c>
      <c r="K3515" t="s">
        <v>180</v>
      </c>
      <c r="L3515">
        <v>200069710</v>
      </c>
    </row>
    <row r="3516" spans="3:12">
      <c r="C3516">
        <v>2100300025</v>
      </c>
      <c r="D3516">
        <v>6426000</v>
      </c>
      <c r="E3516" t="s">
        <v>188</v>
      </c>
      <c r="F3516">
        <v>5210010105</v>
      </c>
      <c r="G3516">
        <v>470.8</v>
      </c>
      <c r="I3516" t="s">
        <v>179</v>
      </c>
      <c r="J3516" t="s">
        <v>940</v>
      </c>
      <c r="K3516" t="s">
        <v>180</v>
      </c>
      <c r="L3516">
        <v>200070818</v>
      </c>
    </row>
    <row r="3517" spans="3:12">
      <c r="C3517">
        <v>2100300025</v>
      </c>
      <c r="D3517">
        <v>6426000</v>
      </c>
      <c r="E3517" t="s">
        <v>188</v>
      </c>
      <c r="F3517">
        <v>5210010105</v>
      </c>
      <c r="G3517" s="13">
        <v>16264</v>
      </c>
      <c r="I3517" t="s">
        <v>179</v>
      </c>
      <c r="J3517" t="s">
        <v>940</v>
      </c>
      <c r="K3517" t="s">
        <v>180</v>
      </c>
      <c r="L3517">
        <v>200070819</v>
      </c>
    </row>
    <row r="3518" spans="3:12">
      <c r="C3518">
        <v>2100300025</v>
      </c>
      <c r="D3518">
        <v>6426000</v>
      </c>
      <c r="E3518" t="s">
        <v>188</v>
      </c>
      <c r="F3518">
        <v>5210010105</v>
      </c>
      <c r="G3518" s="13">
        <v>4400</v>
      </c>
      <c r="I3518" t="s">
        <v>179</v>
      </c>
      <c r="J3518" t="s">
        <v>940</v>
      </c>
      <c r="K3518" t="s">
        <v>180</v>
      </c>
      <c r="L3518">
        <v>200070791</v>
      </c>
    </row>
    <row r="3519" spans="3:12">
      <c r="C3519">
        <v>2100300025</v>
      </c>
      <c r="D3519">
        <v>6426000</v>
      </c>
      <c r="E3519" t="s">
        <v>188</v>
      </c>
      <c r="F3519">
        <v>5210010105</v>
      </c>
      <c r="G3519">
        <v>108</v>
      </c>
      <c r="I3519" t="s">
        <v>179</v>
      </c>
      <c r="J3519" t="s">
        <v>940</v>
      </c>
      <c r="K3519" t="s">
        <v>180</v>
      </c>
      <c r="L3519">
        <v>200070792</v>
      </c>
    </row>
    <row r="3520" spans="3:12">
      <c r="C3520">
        <v>2100300025</v>
      </c>
      <c r="D3520">
        <v>6426000</v>
      </c>
      <c r="E3520" t="s">
        <v>188</v>
      </c>
      <c r="F3520">
        <v>5210010105</v>
      </c>
      <c r="G3520" s="13">
        <v>1260</v>
      </c>
      <c r="I3520" t="s">
        <v>179</v>
      </c>
      <c r="J3520" t="s">
        <v>940</v>
      </c>
      <c r="K3520" t="s">
        <v>180</v>
      </c>
      <c r="L3520">
        <v>200070793</v>
      </c>
    </row>
    <row r="3521" spans="3:12">
      <c r="C3521">
        <v>2100300025</v>
      </c>
      <c r="D3521">
        <v>6426000</v>
      </c>
      <c r="E3521" t="s">
        <v>188</v>
      </c>
      <c r="F3521">
        <v>5210010105</v>
      </c>
      <c r="G3521" s="13">
        <v>6195.3</v>
      </c>
      <c r="I3521" t="s">
        <v>179</v>
      </c>
      <c r="J3521" t="s">
        <v>940</v>
      </c>
      <c r="K3521" t="s">
        <v>180</v>
      </c>
      <c r="L3521">
        <v>200070794</v>
      </c>
    </row>
    <row r="3522" spans="3:12">
      <c r="C3522">
        <v>2100300025</v>
      </c>
      <c r="D3522">
        <v>6426000</v>
      </c>
      <c r="E3522" t="s">
        <v>188</v>
      </c>
      <c r="F3522">
        <v>5210010105</v>
      </c>
      <c r="G3522" s="13">
        <v>5800</v>
      </c>
      <c r="I3522" t="s">
        <v>179</v>
      </c>
      <c r="J3522" t="s">
        <v>940</v>
      </c>
      <c r="K3522" t="s">
        <v>180</v>
      </c>
      <c r="L3522">
        <v>200070820</v>
      </c>
    </row>
    <row r="3523" spans="3:12">
      <c r="C3523">
        <v>2100300025</v>
      </c>
      <c r="D3523">
        <v>6426000</v>
      </c>
      <c r="E3523" t="s">
        <v>188</v>
      </c>
      <c r="F3523">
        <v>5210010105</v>
      </c>
      <c r="G3523">
        <v>207</v>
      </c>
      <c r="I3523" t="s">
        <v>179</v>
      </c>
      <c r="J3523" t="s">
        <v>940</v>
      </c>
      <c r="K3523" t="s">
        <v>180</v>
      </c>
      <c r="L3523">
        <v>200070821</v>
      </c>
    </row>
    <row r="3524" spans="3:12">
      <c r="C3524">
        <v>2100300025</v>
      </c>
      <c r="D3524">
        <v>6426000</v>
      </c>
      <c r="E3524" t="s">
        <v>188</v>
      </c>
      <c r="F3524">
        <v>5210010105</v>
      </c>
      <c r="G3524" s="13">
        <v>3959</v>
      </c>
      <c r="I3524" t="s">
        <v>179</v>
      </c>
      <c r="J3524" t="s">
        <v>940</v>
      </c>
      <c r="K3524" t="s">
        <v>180</v>
      </c>
      <c r="L3524">
        <v>200070795</v>
      </c>
    </row>
    <row r="3525" spans="3:12">
      <c r="C3525">
        <v>2100300025</v>
      </c>
      <c r="D3525">
        <v>6426000</v>
      </c>
      <c r="E3525" t="s">
        <v>188</v>
      </c>
      <c r="F3525">
        <v>5210010105</v>
      </c>
      <c r="G3525" s="13">
        <v>9202</v>
      </c>
      <c r="I3525" t="s">
        <v>179</v>
      </c>
      <c r="J3525" t="s">
        <v>940</v>
      </c>
      <c r="K3525" t="s">
        <v>180</v>
      </c>
      <c r="L3525">
        <v>200070796</v>
      </c>
    </row>
    <row r="3526" spans="3:12">
      <c r="C3526">
        <v>2100300025</v>
      </c>
      <c r="D3526">
        <v>6426000</v>
      </c>
      <c r="E3526" t="s">
        <v>188</v>
      </c>
      <c r="F3526">
        <v>5210010105</v>
      </c>
      <c r="G3526" s="13">
        <v>4500</v>
      </c>
      <c r="I3526" t="s">
        <v>179</v>
      </c>
      <c r="J3526" t="s">
        <v>940</v>
      </c>
      <c r="K3526" t="s">
        <v>180</v>
      </c>
      <c r="L3526">
        <v>200070797</v>
      </c>
    </row>
    <row r="3527" spans="3:12">
      <c r="C3527">
        <v>2100300025</v>
      </c>
      <c r="D3527">
        <v>6426000</v>
      </c>
      <c r="E3527" t="s">
        <v>188</v>
      </c>
      <c r="F3527">
        <v>5210010105</v>
      </c>
      <c r="G3527" s="13">
        <v>9500</v>
      </c>
      <c r="I3527" t="s">
        <v>179</v>
      </c>
      <c r="J3527" t="s">
        <v>940</v>
      </c>
      <c r="K3527" t="s">
        <v>180</v>
      </c>
      <c r="L3527">
        <v>200070486</v>
      </c>
    </row>
    <row r="3528" spans="3:12">
      <c r="C3528">
        <v>2100300025</v>
      </c>
      <c r="D3528">
        <v>6426000</v>
      </c>
      <c r="E3528" t="s">
        <v>188</v>
      </c>
      <c r="F3528">
        <v>5210010105</v>
      </c>
      <c r="G3528" s="13">
        <v>29061.5</v>
      </c>
      <c r="I3528" t="s">
        <v>179</v>
      </c>
      <c r="J3528" t="s">
        <v>940</v>
      </c>
      <c r="K3528" t="s">
        <v>180</v>
      </c>
      <c r="L3528">
        <v>200070487</v>
      </c>
    </row>
    <row r="3529" spans="3:12">
      <c r="C3529">
        <v>2100300025</v>
      </c>
      <c r="D3529">
        <v>6426000</v>
      </c>
      <c r="E3529" t="s">
        <v>188</v>
      </c>
      <c r="F3529">
        <v>5210010105</v>
      </c>
      <c r="G3529" s="13">
        <v>6750</v>
      </c>
      <c r="I3529" t="s">
        <v>179</v>
      </c>
      <c r="J3529" t="s">
        <v>940</v>
      </c>
      <c r="K3529" t="s">
        <v>180</v>
      </c>
      <c r="L3529">
        <v>200070129</v>
      </c>
    </row>
    <row r="3530" spans="3:12">
      <c r="C3530">
        <v>2100300025</v>
      </c>
      <c r="D3530">
        <v>6426000</v>
      </c>
      <c r="E3530" t="s">
        <v>188</v>
      </c>
      <c r="F3530">
        <v>5210010105</v>
      </c>
      <c r="G3530" s="13">
        <v>36500</v>
      </c>
      <c r="I3530" t="s">
        <v>179</v>
      </c>
      <c r="J3530" t="s">
        <v>940</v>
      </c>
      <c r="K3530" t="s">
        <v>180</v>
      </c>
      <c r="L3530">
        <v>200070488</v>
      </c>
    </row>
    <row r="3531" spans="3:12">
      <c r="C3531">
        <v>2100300025</v>
      </c>
      <c r="D3531">
        <v>6426000</v>
      </c>
      <c r="E3531" t="s">
        <v>188</v>
      </c>
      <c r="F3531">
        <v>5210010105</v>
      </c>
      <c r="G3531" s="13">
        <v>9000</v>
      </c>
      <c r="I3531" t="s">
        <v>179</v>
      </c>
      <c r="J3531" t="s">
        <v>940</v>
      </c>
      <c r="K3531" t="s">
        <v>180</v>
      </c>
      <c r="L3531">
        <v>200070489</v>
      </c>
    </row>
    <row r="3532" spans="3:12">
      <c r="C3532">
        <v>2100300025</v>
      </c>
      <c r="D3532">
        <v>6426000</v>
      </c>
      <c r="E3532" t="s">
        <v>188</v>
      </c>
      <c r="F3532">
        <v>5210010105</v>
      </c>
      <c r="G3532" s="13">
        <v>9095</v>
      </c>
      <c r="I3532" t="s">
        <v>179</v>
      </c>
      <c r="J3532" t="s">
        <v>940</v>
      </c>
      <c r="K3532" t="s">
        <v>180</v>
      </c>
      <c r="L3532">
        <v>200065133</v>
      </c>
    </row>
    <row r="3533" spans="3:12">
      <c r="C3533">
        <v>2100300025</v>
      </c>
      <c r="D3533">
        <v>6426000</v>
      </c>
      <c r="E3533" t="s">
        <v>188</v>
      </c>
      <c r="F3533">
        <v>5210010105</v>
      </c>
      <c r="G3533" s="13">
        <v>75000</v>
      </c>
      <c r="I3533" t="s">
        <v>179</v>
      </c>
      <c r="J3533" t="s">
        <v>940</v>
      </c>
      <c r="K3533" t="s">
        <v>180</v>
      </c>
      <c r="L3533">
        <v>200070130</v>
      </c>
    </row>
    <row r="3534" spans="3:12">
      <c r="C3534">
        <v>2100300025</v>
      </c>
      <c r="D3534">
        <v>6426000</v>
      </c>
      <c r="E3534" t="s">
        <v>188</v>
      </c>
      <c r="F3534">
        <v>5210010105</v>
      </c>
      <c r="G3534" s="13">
        <v>374500</v>
      </c>
      <c r="I3534" t="s">
        <v>179</v>
      </c>
      <c r="J3534" t="s">
        <v>944</v>
      </c>
      <c r="K3534" t="s">
        <v>180</v>
      </c>
      <c r="L3534">
        <v>200074558</v>
      </c>
    </row>
    <row r="3535" spans="3:12">
      <c r="C3535">
        <v>2100300025</v>
      </c>
      <c r="D3535">
        <v>6426000</v>
      </c>
      <c r="E3535" t="s">
        <v>188</v>
      </c>
      <c r="F3535">
        <v>5210010105</v>
      </c>
      <c r="G3535" s="13">
        <v>4151</v>
      </c>
      <c r="I3535" t="s">
        <v>179</v>
      </c>
      <c r="J3535" t="s">
        <v>941</v>
      </c>
      <c r="K3535" t="s">
        <v>180</v>
      </c>
      <c r="L3535">
        <v>200070526</v>
      </c>
    </row>
    <row r="3536" spans="3:12">
      <c r="C3536">
        <v>2100300025</v>
      </c>
      <c r="D3536">
        <v>6426000</v>
      </c>
      <c r="E3536" t="s">
        <v>188</v>
      </c>
      <c r="F3536">
        <v>5210010105</v>
      </c>
      <c r="G3536" s="13">
        <v>320000</v>
      </c>
      <c r="I3536" t="s">
        <v>179</v>
      </c>
      <c r="J3536" t="s">
        <v>941</v>
      </c>
      <c r="K3536" t="s">
        <v>180</v>
      </c>
      <c r="L3536">
        <v>200068699</v>
      </c>
    </row>
    <row r="3537" spans="3:12">
      <c r="C3537">
        <v>2100300025</v>
      </c>
      <c r="D3537">
        <v>6426000</v>
      </c>
      <c r="E3537" t="s">
        <v>188</v>
      </c>
      <c r="F3537">
        <v>5210010105</v>
      </c>
      <c r="G3537" s="13">
        <v>28355</v>
      </c>
      <c r="I3537" t="s">
        <v>179</v>
      </c>
      <c r="J3537" t="s">
        <v>941</v>
      </c>
      <c r="K3537" t="s">
        <v>180</v>
      </c>
      <c r="L3537">
        <v>200070713</v>
      </c>
    </row>
    <row r="3538" spans="3:12">
      <c r="C3538">
        <v>2100300025</v>
      </c>
      <c r="D3538">
        <v>6426000</v>
      </c>
      <c r="E3538" t="s">
        <v>188</v>
      </c>
      <c r="F3538">
        <v>5210010105</v>
      </c>
      <c r="G3538" s="13">
        <v>60990</v>
      </c>
      <c r="I3538" t="s">
        <v>179</v>
      </c>
      <c r="J3538" t="s">
        <v>941</v>
      </c>
      <c r="K3538" t="s">
        <v>180</v>
      </c>
      <c r="L3538">
        <v>200070423</v>
      </c>
    </row>
    <row r="3539" spans="3:12">
      <c r="C3539">
        <v>2100300025</v>
      </c>
      <c r="D3539">
        <v>6426000</v>
      </c>
      <c r="E3539" t="s">
        <v>188</v>
      </c>
      <c r="F3539">
        <v>5210010105</v>
      </c>
      <c r="G3539" s="13">
        <v>6888</v>
      </c>
      <c r="I3539" t="s">
        <v>179</v>
      </c>
      <c r="J3539" t="s">
        <v>941</v>
      </c>
      <c r="K3539" t="s">
        <v>180</v>
      </c>
      <c r="L3539">
        <v>200065344</v>
      </c>
    </row>
    <row r="3540" spans="3:12">
      <c r="C3540">
        <v>2100300025</v>
      </c>
      <c r="D3540">
        <v>6426000</v>
      </c>
      <c r="E3540" t="s">
        <v>188</v>
      </c>
      <c r="F3540">
        <v>5210010105</v>
      </c>
      <c r="G3540" s="13">
        <v>8000</v>
      </c>
      <c r="I3540" t="s">
        <v>179</v>
      </c>
      <c r="J3540" t="s">
        <v>941</v>
      </c>
      <c r="K3540" t="s">
        <v>180</v>
      </c>
      <c r="L3540">
        <v>200068700</v>
      </c>
    </row>
    <row r="3541" spans="3:12">
      <c r="C3541">
        <v>2100300025</v>
      </c>
      <c r="D3541">
        <v>6426000</v>
      </c>
      <c r="E3541" t="s">
        <v>188</v>
      </c>
      <c r="F3541">
        <v>5210010105</v>
      </c>
      <c r="G3541" s="13">
        <v>297000</v>
      </c>
      <c r="I3541" t="s">
        <v>179</v>
      </c>
      <c r="J3541" t="s">
        <v>941</v>
      </c>
      <c r="K3541" t="s">
        <v>180</v>
      </c>
      <c r="L3541">
        <v>200070714</v>
      </c>
    </row>
    <row r="3542" spans="3:12">
      <c r="C3542">
        <v>2100300025</v>
      </c>
      <c r="D3542">
        <v>6426000</v>
      </c>
      <c r="E3542" t="s">
        <v>188</v>
      </c>
      <c r="F3542">
        <v>5210010105</v>
      </c>
      <c r="G3542" s="13">
        <v>430100</v>
      </c>
      <c r="I3542" t="s">
        <v>179</v>
      </c>
      <c r="J3542" t="s">
        <v>941</v>
      </c>
      <c r="K3542" t="s">
        <v>180</v>
      </c>
      <c r="L3542">
        <v>200068854</v>
      </c>
    </row>
    <row r="3543" spans="3:12">
      <c r="C3543">
        <v>2100300025</v>
      </c>
      <c r="D3543">
        <v>6426000</v>
      </c>
      <c r="E3543" t="s">
        <v>188</v>
      </c>
      <c r="F3543">
        <v>5210010105</v>
      </c>
      <c r="G3543" s="13">
        <v>303000</v>
      </c>
      <c r="I3543" t="s">
        <v>179</v>
      </c>
      <c r="J3543" t="s">
        <v>941</v>
      </c>
      <c r="K3543" t="s">
        <v>180</v>
      </c>
      <c r="L3543">
        <v>200068855</v>
      </c>
    </row>
    <row r="3544" spans="3:12">
      <c r="C3544">
        <v>2100300025</v>
      </c>
      <c r="D3544">
        <v>6426000</v>
      </c>
      <c r="E3544" t="s">
        <v>188</v>
      </c>
      <c r="F3544">
        <v>5210010105</v>
      </c>
      <c r="G3544" s="13">
        <v>43800</v>
      </c>
      <c r="I3544" t="s">
        <v>179</v>
      </c>
      <c r="J3544" t="s">
        <v>941</v>
      </c>
      <c r="K3544" t="s">
        <v>180</v>
      </c>
      <c r="L3544">
        <v>200068856</v>
      </c>
    </row>
    <row r="3545" spans="3:12">
      <c r="C3545">
        <v>2100300025</v>
      </c>
      <c r="D3545">
        <v>6426000</v>
      </c>
      <c r="E3545" t="s">
        <v>188</v>
      </c>
      <c r="F3545">
        <v>5210010105</v>
      </c>
      <c r="G3545" s="13">
        <v>31000</v>
      </c>
      <c r="I3545" t="s">
        <v>179</v>
      </c>
      <c r="J3545" t="s">
        <v>941</v>
      </c>
      <c r="K3545" t="s">
        <v>180</v>
      </c>
      <c r="L3545">
        <v>200068857</v>
      </c>
    </row>
    <row r="3546" spans="3:12">
      <c r="C3546">
        <v>2100300025</v>
      </c>
      <c r="D3546">
        <v>6426000</v>
      </c>
      <c r="E3546" t="s">
        <v>188</v>
      </c>
      <c r="F3546">
        <v>5210010105</v>
      </c>
      <c r="G3546" s="13">
        <v>19550</v>
      </c>
      <c r="I3546" t="s">
        <v>179</v>
      </c>
      <c r="J3546" t="s">
        <v>941</v>
      </c>
      <c r="K3546" t="s">
        <v>180</v>
      </c>
      <c r="L3546">
        <v>200068858</v>
      </c>
    </row>
    <row r="3547" spans="3:12">
      <c r="C3547">
        <v>2100300025</v>
      </c>
      <c r="D3547">
        <v>6426000</v>
      </c>
      <c r="E3547" t="s">
        <v>188</v>
      </c>
      <c r="F3547">
        <v>5210010105</v>
      </c>
      <c r="G3547" s="13">
        <v>92000</v>
      </c>
      <c r="I3547" t="s">
        <v>179</v>
      </c>
      <c r="J3547" t="s">
        <v>941</v>
      </c>
      <c r="K3547" t="s">
        <v>180</v>
      </c>
      <c r="L3547">
        <v>200068859</v>
      </c>
    </row>
    <row r="3548" spans="3:12">
      <c r="C3548">
        <v>2100300025</v>
      </c>
      <c r="D3548">
        <v>6426000</v>
      </c>
      <c r="E3548" t="s">
        <v>188</v>
      </c>
      <c r="F3548">
        <v>5210010105</v>
      </c>
      <c r="G3548" s="13">
        <v>10500</v>
      </c>
      <c r="I3548" t="s">
        <v>179</v>
      </c>
      <c r="J3548" t="s">
        <v>941</v>
      </c>
      <c r="K3548" t="s">
        <v>180</v>
      </c>
      <c r="L3548">
        <v>200068860</v>
      </c>
    </row>
    <row r="3549" spans="3:12">
      <c r="C3549">
        <v>2100300025</v>
      </c>
      <c r="D3549">
        <v>6426000</v>
      </c>
      <c r="E3549" t="s">
        <v>188</v>
      </c>
      <c r="F3549">
        <v>5210010105</v>
      </c>
      <c r="G3549" s="13">
        <v>123200</v>
      </c>
      <c r="I3549" t="s">
        <v>179</v>
      </c>
      <c r="J3549" t="s">
        <v>941</v>
      </c>
      <c r="K3549" t="s">
        <v>180</v>
      </c>
      <c r="L3549">
        <v>200068861</v>
      </c>
    </row>
    <row r="3550" spans="3:12">
      <c r="C3550">
        <v>2100300025</v>
      </c>
      <c r="D3550">
        <v>6426000</v>
      </c>
      <c r="E3550" t="s">
        <v>188</v>
      </c>
      <c r="F3550">
        <v>5210010105</v>
      </c>
      <c r="G3550" s="13">
        <v>128000</v>
      </c>
      <c r="I3550" t="s">
        <v>179</v>
      </c>
      <c r="J3550" t="s">
        <v>941</v>
      </c>
      <c r="K3550" t="s">
        <v>180</v>
      </c>
      <c r="L3550">
        <v>200068862</v>
      </c>
    </row>
    <row r="3551" spans="3:12">
      <c r="C3551">
        <v>2100300025</v>
      </c>
      <c r="D3551">
        <v>6426000</v>
      </c>
      <c r="E3551" t="s">
        <v>188</v>
      </c>
      <c r="F3551">
        <v>5210010105</v>
      </c>
      <c r="G3551" s="13">
        <v>424000</v>
      </c>
      <c r="I3551" t="s">
        <v>179</v>
      </c>
      <c r="J3551" t="s">
        <v>941</v>
      </c>
      <c r="K3551" t="s">
        <v>180</v>
      </c>
      <c r="L3551">
        <v>200068863</v>
      </c>
    </row>
    <row r="3552" spans="3:12">
      <c r="C3552">
        <v>2100300025</v>
      </c>
      <c r="D3552">
        <v>6426000</v>
      </c>
      <c r="E3552" t="s">
        <v>188</v>
      </c>
      <c r="F3552">
        <v>5210010105</v>
      </c>
      <c r="G3552" s="13">
        <v>100000</v>
      </c>
      <c r="I3552" t="s">
        <v>179</v>
      </c>
      <c r="J3552" t="s">
        <v>941</v>
      </c>
      <c r="K3552" t="s">
        <v>180</v>
      </c>
      <c r="L3552">
        <v>200068864</v>
      </c>
    </row>
    <row r="3553" spans="3:12">
      <c r="C3553">
        <v>2100300025</v>
      </c>
      <c r="D3553">
        <v>6426000</v>
      </c>
      <c r="E3553" t="s">
        <v>188</v>
      </c>
      <c r="F3553">
        <v>5210010105</v>
      </c>
      <c r="G3553" s="13">
        <v>63250</v>
      </c>
      <c r="I3553" t="s">
        <v>179</v>
      </c>
      <c r="J3553" t="s">
        <v>941</v>
      </c>
      <c r="K3553" t="s">
        <v>180</v>
      </c>
      <c r="L3553">
        <v>200068865</v>
      </c>
    </row>
    <row r="3554" spans="3:12">
      <c r="C3554">
        <v>2100300025</v>
      </c>
      <c r="D3554">
        <v>6426000</v>
      </c>
      <c r="E3554" t="s">
        <v>188</v>
      </c>
      <c r="F3554">
        <v>5210010105</v>
      </c>
      <c r="G3554" s="13">
        <v>2782</v>
      </c>
      <c r="I3554" t="s">
        <v>179</v>
      </c>
      <c r="J3554" t="s">
        <v>841</v>
      </c>
      <c r="K3554" t="s">
        <v>180</v>
      </c>
      <c r="L3554">
        <v>200074218</v>
      </c>
    </row>
    <row r="3555" spans="3:12">
      <c r="C3555">
        <v>2100300025</v>
      </c>
      <c r="D3555">
        <v>6426000</v>
      </c>
      <c r="E3555" t="s">
        <v>188</v>
      </c>
      <c r="F3555">
        <v>5210010105</v>
      </c>
      <c r="G3555" s="13">
        <v>1060</v>
      </c>
      <c r="I3555" t="s">
        <v>179</v>
      </c>
      <c r="J3555" t="s">
        <v>841</v>
      </c>
      <c r="K3555" t="s">
        <v>180</v>
      </c>
      <c r="L3555">
        <v>200074219</v>
      </c>
    </row>
    <row r="3556" spans="3:12">
      <c r="C3556">
        <v>2100300025</v>
      </c>
      <c r="D3556">
        <v>6426000</v>
      </c>
      <c r="E3556" t="s">
        <v>188</v>
      </c>
      <c r="F3556">
        <v>5210010105</v>
      </c>
      <c r="G3556" s="13">
        <v>3500</v>
      </c>
      <c r="I3556" t="s">
        <v>179</v>
      </c>
      <c r="J3556" t="s">
        <v>841</v>
      </c>
      <c r="K3556" t="s">
        <v>180</v>
      </c>
      <c r="L3556">
        <v>200074220</v>
      </c>
    </row>
    <row r="3557" spans="3:12">
      <c r="C3557">
        <v>2100300025</v>
      </c>
      <c r="D3557">
        <v>6426000</v>
      </c>
      <c r="E3557" t="s">
        <v>188</v>
      </c>
      <c r="F3557">
        <v>5210010105</v>
      </c>
      <c r="G3557">
        <v>200</v>
      </c>
      <c r="I3557" t="s">
        <v>179</v>
      </c>
      <c r="J3557" t="s">
        <v>841</v>
      </c>
      <c r="K3557" t="s">
        <v>180</v>
      </c>
      <c r="L3557">
        <v>200074221</v>
      </c>
    </row>
    <row r="3558" spans="3:12">
      <c r="C3558">
        <v>2100300025</v>
      </c>
      <c r="D3558">
        <v>6426000</v>
      </c>
      <c r="E3558" t="s">
        <v>188</v>
      </c>
      <c r="F3558">
        <v>5210010105</v>
      </c>
      <c r="G3558" s="13">
        <v>2750</v>
      </c>
      <c r="I3558" t="s">
        <v>179</v>
      </c>
      <c r="J3558" t="s">
        <v>841</v>
      </c>
      <c r="K3558" t="s">
        <v>180</v>
      </c>
      <c r="L3558">
        <v>200074222</v>
      </c>
    </row>
    <row r="3559" spans="3:12">
      <c r="C3559">
        <v>2100300025</v>
      </c>
      <c r="D3559">
        <v>6426000</v>
      </c>
      <c r="E3559" t="s">
        <v>188</v>
      </c>
      <c r="F3559">
        <v>5210010105</v>
      </c>
      <c r="G3559">
        <v>246</v>
      </c>
      <c r="I3559" t="s">
        <v>179</v>
      </c>
      <c r="J3559" t="s">
        <v>841</v>
      </c>
      <c r="K3559" t="s">
        <v>180</v>
      </c>
      <c r="L3559">
        <v>200074223</v>
      </c>
    </row>
    <row r="3560" spans="3:12">
      <c r="C3560">
        <v>2100300025</v>
      </c>
      <c r="D3560">
        <v>6426000</v>
      </c>
      <c r="E3560" t="s">
        <v>188</v>
      </c>
      <c r="F3560">
        <v>5210010105</v>
      </c>
      <c r="G3560" s="13">
        <v>2118.6</v>
      </c>
      <c r="I3560" t="s">
        <v>179</v>
      </c>
      <c r="J3560" t="s">
        <v>841</v>
      </c>
      <c r="K3560" t="s">
        <v>180</v>
      </c>
      <c r="L3560">
        <v>200074224</v>
      </c>
    </row>
    <row r="3561" spans="3:12">
      <c r="C3561">
        <v>2100300025</v>
      </c>
      <c r="D3561">
        <v>6426000</v>
      </c>
      <c r="E3561" t="s">
        <v>188</v>
      </c>
      <c r="F3561">
        <v>5210010105</v>
      </c>
      <c r="G3561" s="13">
        <v>11235</v>
      </c>
      <c r="I3561" t="s">
        <v>179</v>
      </c>
      <c r="J3561" t="s">
        <v>841</v>
      </c>
      <c r="K3561" t="s">
        <v>180</v>
      </c>
      <c r="L3561">
        <v>200074225</v>
      </c>
    </row>
    <row r="3562" spans="3:12">
      <c r="C3562">
        <v>2100300025</v>
      </c>
      <c r="D3562">
        <v>6426000</v>
      </c>
      <c r="E3562" t="s">
        <v>188</v>
      </c>
      <c r="F3562">
        <v>5210010105</v>
      </c>
      <c r="G3562" s="13">
        <v>46440</v>
      </c>
      <c r="I3562" t="s">
        <v>179</v>
      </c>
      <c r="J3562" t="s">
        <v>841</v>
      </c>
      <c r="K3562" t="s">
        <v>180</v>
      </c>
      <c r="L3562">
        <v>200074227</v>
      </c>
    </row>
    <row r="3563" spans="3:12">
      <c r="C3563">
        <v>2100300025</v>
      </c>
      <c r="D3563">
        <v>6426000</v>
      </c>
      <c r="E3563" t="s">
        <v>188</v>
      </c>
      <c r="F3563">
        <v>5210010105</v>
      </c>
      <c r="G3563" s="13">
        <v>2025</v>
      </c>
      <c r="I3563" t="s">
        <v>179</v>
      </c>
      <c r="J3563" t="s">
        <v>841</v>
      </c>
      <c r="K3563" t="s">
        <v>180</v>
      </c>
      <c r="L3563">
        <v>200073379</v>
      </c>
    </row>
    <row r="3564" spans="3:12">
      <c r="C3564">
        <v>2100300025</v>
      </c>
      <c r="D3564">
        <v>6426000</v>
      </c>
      <c r="E3564" t="s">
        <v>188</v>
      </c>
      <c r="F3564">
        <v>5210010105</v>
      </c>
      <c r="G3564" s="13">
        <v>2225.52</v>
      </c>
      <c r="I3564" t="s">
        <v>179</v>
      </c>
      <c r="J3564" t="s">
        <v>841</v>
      </c>
      <c r="K3564" t="s">
        <v>180</v>
      </c>
      <c r="L3564">
        <v>200074231</v>
      </c>
    </row>
    <row r="3565" spans="3:12">
      <c r="C3565">
        <v>2100300025</v>
      </c>
      <c r="D3565">
        <v>6426000</v>
      </c>
      <c r="E3565" t="s">
        <v>188</v>
      </c>
      <c r="F3565">
        <v>5210010105</v>
      </c>
      <c r="G3565" s="13">
        <v>1926</v>
      </c>
      <c r="I3565" t="s">
        <v>179</v>
      </c>
      <c r="J3565" t="s">
        <v>841</v>
      </c>
      <c r="K3565" t="s">
        <v>180</v>
      </c>
      <c r="L3565">
        <v>200074156</v>
      </c>
    </row>
    <row r="3566" spans="3:12">
      <c r="C3566">
        <v>2100300025</v>
      </c>
      <c r="D3566">
        <v>6426000</v>
      </c>
      <c r="E3566" t="s">
        <v>188</v>
      </c>
      <c r="F3566">
        <v>5210010105</v>
      </c>
      <c r="G3566" s="13">
        <v>103790</v>
      </c>
      <c r="I3566" t="s">
        <v>179</v>
      </c>
      <c r="J3566" t="s">
        <v>942</v>
      </c>
      <c r="K3566" t="s">
        <v>180</v>
      </c>
      <c r="L3566">
        <v>200070113</v>
      </c>
    </row>
    <row r="3567" spans="3:12">
      <c r="C3567">
        <v>2100300025</v>
      </c>
      <c r="D3567">
        <v>6426000</v>
      </c>
      <c r="E3567" t="s">
        <v>188</v>
      </c>
      <c r="F3567">
        <v>5210010105</v>
      </c>
      <c r="G3567" s="13">
        <v>71957.5</v>
      </c>
      <c r="I3567" t="s">
        <v>179</v>
      </c>
      <c r="J3567" t="s">
        <v>942</v>
      </c>
      <c r="K3567" t="s">
        <v>180</v>
      </c>
      <c r="L3567">
        <v>200069981</v>
      </c>
    </row>
    <row r="3568" spans="3:12">
      <c r="C3568">
        <v>2100300025</v>
      </c>
      <c r="D3568">
        <v>6426000</v>
      </c>
      <c r="E3568" t="s">
        <v>188</v>
      </c>
      <c r="F3568">
        <v>5210010105</v>
      </c>
      <c r="G3568" s="13">
        <v>1998000</v>
      </c>
      <c r="I3568" t="s">
        <v>179</v>
      </c>
      <c r="J3568" t="s">
        <v>942</v>
      </c>
      <c r="K3568" t="s">
        <v>180</v>
      </c>
      <c r="L3568">
        <v>200068675</v>
      </c>
    </row>
    <row r="3569" spans="3:12">
      <c r="C3569">
        <v>2100300025</v>
      </c>
      <c r="D3569">
        <v>6426000</v>
      </c>
      <c r="E3569" t="s">
        <v>188</v>
      </c>
      <c r="F3569">
        <v>5210010105</v>
      </c>
      <c r="G3569" s="13">
        <v>5000</v>
      </c>
      <c r="I3569" t="s">
        <v>179</v>
      </c>
      <c r="J3569" t="s">
        <v>841</v>
      </c>
      <c r="K3569" t="s">
        <v>180</v>
      </c>
      <c r="L3569">
        <v>200073887</v>
      </c>
    </row>
    <row r="3570" spans="3:12">
      <c r="C3570">
        <v>2100300025</v>
      </c>
      <c r="D3570">
        <v>6426000</v>
      </c>
      <c r="E3570" t="s">
        <v>188</v>
      </c>
      <c r="F3570">
        <v>5210010105</v>
      </c>
      <c r="G3570" s="13">
        <v>5000</v>
      </c>
      <c r="I3570" t="s">
        <v>179</v>
      </c>
      <c r="J3570" t="s">
        <v>841</v>
      </c>
      <c r="K3570" t="s">
        <v>180</v>
      </c>
      <c r="L3570">
        <v>200073586</v>
      </c>
    </row>
    <row r="3571" spans="3:12">
      <c r="C3571">
        <v>2100300025</v>
      </c>
      <c r="D3571">
        <v>6426000</v>
      </c>
      <c r="E3571" t="s">
        <v>188</v>
      </c>
      <c r="F3571">
        <v>5210010105</v>
      </c>
      <c r="G3571" s="13">
        <v>50000</v>
      </c>
      <c r="I3571" t="s">
        <v>179</v>
      </c>
      <c r="J3571" t="s">
        <v>841</v>
      </c>
      <c r="K3571" t="s">
        <v>180</v>
      </c>
      <c r="L3571">
        <v>200073888</v>
      </c>
    </row>
    <row r="3572" spans="3:12">
      <c r="C3572">
        <v>2100300025</v>
      </c>
      <c r="D3572">
        <v>6426000</v>
      </c>
      <c r="E3572" t="s">
        <v>188</v>
      </c>
      <c r="F3572">
        <v>5210010105</v>
      </c>
      <c r="G3572" s="13">
        <v>26065.200000000001</v>
      </c>
      <c r="I3572" t="s">
        <v>179</v>
      </c>
      <c r="J3572" t="s">
        <v>841</v>
      </c>
      <c r="K3572" t="s">
        <v>180</v>
      </c>
      <c r="L3572">
        <v>200065146</v>
      </c>
    </row>
    <row r="3573" spans="3:12">
      <c r="C3573">
        <v>2100300025</v>
      </c>
      <c r="D3573">
        <v>6426000</v>
      </c>
      <c r="E3573" t="s">
        <v>188</v>
      </c>
      <c r="F3573">
        <v>5210010105</v>
      </c>
      <c r="G3573" s="13">
        <v>1014.36</v>
      </c>
      <c r="I3573" t="s">
        <v>179</v>
      </c>
      <c r="J3573" t="s">
        <v>841</v>
      </c>
      <c r="K3573" t="s">
        <v>180</v>
      </c>
      <c r="L3573">
        <v>200065147</v>
      </c>
    </row>
    <row r="3574" spans="3:12">
      <c r="C3574">
        <v>2100300025</v>
      </c>
      <c r="D3574">
        <v>6426000</v>
      </c>
      <c r="E3574" t="s">
        <v>188</v>
      </c>
      <c r="F3574">
        <v>5210010105</v>
      </c>
      <c r="G3574" s="13">
        <v>2332.6</v>
      </c>
      <c r="I3574" t="s">
        <v>179</v>
      </c>
      <c r="J3574" t="s">
        <v>841</v>
      </c>
      <c r="K3574" t="s">
        <v>180</v>
      </c>
      <c r="L3574">
        <v>200065148</v>
      </c>
    </row>
    <row r="3575" spans="3:12">
      <c r="C3575">
        <v>2100300025</v>
      </c>
      <c r="D3575">
        <v>6426000</v>
      </c>
      <c r="E3575" t="s">
        <v>188</v>
      </c>
      <c r="F3575">
        <v>5210010105</v>
      </c>
      <c r="G3575" s="13">
        <v>130540</v>
      </c>
      <c r="I3575" t="s">
        <v>179</v>
      </c>
      <c r="J3575" t="s">
        <v>841</v>
      </c>
      <c r="K3575" t="s">
        <v>180</v>
      </c>
      <c r="L3575">
        <v>200073733</v>
      </c>
    </row>
    <row r="3576" spans="3:12">
      <c r="C3576">
        <v>2100300025</v>
      </c>
      <c r="D3576">
        <v>6426000</v>
      </c>
      <c r="E3576" t="s">
        <v>188</v>
      </c>
      <c r="F3576">
        <v>5210010105</v>
      </c>
      <c r="G3576" s="13">
        <v>5200</v>
      </c>
      <c r="I3576" t="s">
        <v>179</v>
      </c>
      <c r="J3576" t="s">
        <v>841</v>
      </c>
      <c r="K3576" t="s">
        <v>180</v>
      </c>
      <c r="L3576">
        <v>200074139</v>
      </c>
    </row>
    <row r="3577" spans="3:12">
      <c r="C3577">
        <v>2100300025</v>
      </c>
      <c r="D3577">
        <v>6426000</v>
      </c>
      <c r="E3577" t="s">
        <v>188</v>
      </c>
      <c r="F3577">
        <v>5210010105</v>
      </c>
      <c r="G3577">
        <v>440</v>
      </c>
      <c r="I3577" t="s">
        <v>179</v>
      </c>
      <c r="J3577" t="s">
        <v>841</v>
      </c>
      <c r="K3577" t="s">
        <v>180</v>
      </c>
      <c r="L3577">
        <v>200074140</v>
      </c>
    </row>
    <row r="3578" spans="3:12">
      <c r="C3578">
        <v>2100300025</v>
      </c>
      <c r="D3578">
        <v>6426000</v>
      </c>
      <c r="E3578" t="s">
        <v>188</v>
      </c>
      <c r="F3578">
        <v>5210010105</v>
      </c>
      <c r="G3578">
        <v>900</v>
      </c>
      <c r="I3578" t="s">
        <v>179</v>
      </c>
      <c r="J3578" t="s">
        <v>841</v>
      </c>
      <c r="K3578" t="s">
        <v>180</v>
      </c>
      <c r="L3578">
        <v>200074141</v>
      </c>
    </row>
    <row r="3579" spans="3:12">
      <c r="C3579">
        <v>2100300025</v>
      </c>
      <c r="D3579">
        <v>6426000</v>
      </c>
      <c r="E3579" t="s">
        <v>188</v>
      </c>
      <c r="F3579">
        <v>5210010105</v>
      </c>
      <c r="G3579" s="13">
        <v>3770</v>
      </c>
      <c r="I3579" t="s">
        <v>179</v>
      </c>
      <c r="J3579" t="s">
        <v>841</v>
      </c>
      <c r="K3579" t="s">
        <v>180</v>
      </c>
      <c r="L3579">
        <v>200074142</v>
      </c>
    </row>
    <row r="3580" spans="3:12">
      <c r="C3580">
        <v>2100300025</v>
      </c>
      <c r="D3580">
        <v>6426000</v>
      </c>
      <c r="E3580" t="s">
        <v>188</v>
      </c>
      <c r="F3580">
        <v>5210010105</v>
      </c>
      <c r="G3580" s="13">
        <v>5200</v>
      </c>
      <c r="I3580" t="s">
        <v>179</v>
      </c>
      <c r="J3580" t="s">
        <v>841</v>
      </c>
      <c r="K3580" t="s">
        <v>180</v>
      </c>
      <c r="L3580">
        <v>200074143</v>
      </c>
    </row>
    <row r="3581" spans="3:12">
      <c r="C3581">
        <v>2100300025</v>
      </c>
      <c r="D3581">
        <v>6426000</v>
      </c>
      <c r="E3581" t="s">
        <v>188</v>
      </c>
      <c r="F3581">
        <v>5210010105</v>
      </c>
      <c r="G3581">
        <v>750</v>
      </c>
      <c r="I3581" t="s">
        <v>179</v>
      </c>
      <c r="J3581" t="s">
        <v>841</v>
      </c>
      <c r="K3581" t="s">
        <v>180</v>
      </c>
      <c r="L3581">
        <v>200074144</v>
      </c>
    </row>
    <row r="3582" spans="3:12">
      <c r="C3582">
        <v>2100300025</v>
      </c>
      <c r="D3582">
        <v>6426000</v>
      </c>
      <c r="E3582" t="s">
        <v>188</v>
      </c>
      <c r="F3582">
        <v>5210010105</v>
      </c>
      <c r="G3582" s="13">
        <v>14625</v>
      </c>
      <c r="I3582" t="s">
        <v>179</v>
      </c>
      <c r="J3582" t="s">
        <v>841</v>
      </c>
      <c r="K3582" t="s">
        <v>180</v>
      </c>
      <c r="L3582">
        <v>200074145</v>
      </c>
    </row>
    <row r="3583" spans="3:12">
      <c r="C3583">
        <v>2100300025</v>
      </c>
      <c r="D3583">
        <v>6426000</v>
      </c>
      <c r="E3583" t="s">
        <v>188</v>
      </c>
      <c r="F3583">
        <v>5210010105</v>
      </c>
      <c r="G3583" s="13">
        <v>13100</v>
      </c>
      <c r="I3583" t="s">
        <v>179</v>
      </c>
      <c r="J3583" t="s">
        <v>945</v>
      </c>
      <c r="K3583" t="s">
        <v>180</v>
      </c>
      <c r="L3583">
        <v>200076206</v>
      </c>
    </row>
    <row r="3584" spans="3:12">
      <c r="C3584">
        <v>2100300025</v>
      </c>
      <c r="D3584">
        <v>6426000</v>
      </c>
      <c r="E3584" t="s">
        <v>188</v>
      </c>
      <c r="F3584">
        <v>5210010105</v>
      </c>
      <c r="G3584" s="13">
        <v>8000</v>
      </c>
      <c r="I3584" t="s">
        <v>179</v>
      </c>
      <c r="J3584" t="s">
        <v>945</v>
      </c>
      <c r="K3584" t="s">
        <v>180</v>
      </c>
      <c r="L3584">
        <v>200076207</v>
      </c>
    </row>
    <row r="3585" spans="3:12">
      <c r="C3585">
        <v>2100300025</v>
      </c>
      <c r="D3585">
        <v>6426000</v>
      </c>
      <c r="E3585" t="s">
        <v>188</v>
      </c>
      <c r="F3585">
        <v>5210010105</v>
      </c>
      <c r="G3585" s="13">
        <v>150000</v>
      </c>
      <c r="I3585" t="s">
        <v>179</v>
      </c>
      <c r="J3585" t="s">
        <v>945</v>
      </c>
      <c r="K3585" t="s">
        <v>180</v>
      </c>
      <c r="L3585">
        <v>200076208</v>
      </c>
    </row>
    <row r="3586" spans="3:12">
      <c r="C3586">
        <v>2100300025</v>
      </c>
      <c r="D3586">
        <v>6426000</v>
      </c>
      <c r="E3586" t="s">
        <v>188</v>
      </c>
      <c r="F3586">
        <v>5210010105</v>
      </c>
      <c r="G3586" s="13">
        <v>13000</v>
      </c>
      <c r="I3586" t="s">
        <v>179</v>
      </c>
      <c r="J3586" t="s">
        <v>945</v>
      </c>
      <c r="K3586" t="s">
        <v>180</v>
      </c>
      <c r="L3586">
        <v>200076210</v>
      </c>
    </row>
    <row r="3587" spans="3:12">
      <c r="C3587">
        <v>2100300025</v>
      </c>
      <c r="D3587">
        <v>6426000</v>
      </c>
      <c r="E3587" t="s">
        <v>188</v>
      </c>
      <c r="F3587">
        <v>5210010105</v>
      </c>
      <c r="G3587" s="13">
        <v>200090</v>
      </c>
      <c r="I3587" t="s">
        <v>179</v>
      </c>
      <c r="J3587" t="s">
        <v>945</v>
      </c>
      <c r="K3587" t="s">
        <v>180</v>
      </c>
      <c r="L3587">
        <v>200075669</v>
      </c>
    </row>
    <row r="3588" spans="3:12">
      <c r="C3588">
        <v>2100300025</v>
      </c>
      <c r="D3588">
        <v>6426000</v>
      </c>
      <c r="E3588" t="s">
        <v>188</v>
      </c>
      <c r="F3588">
        <v>5210010105</v>
      </c>
      <c r="G3588" s="13">
        <v>207392.75</v>
      </c>
      <c r="I3588" t="s">
        <v>179</v>
      </c>
      <c r="J3588" t="s">
        <v>943</v>
      </c>
      <c r="K3588" t="s">
        <v>180</v>
      </c>
      <c r="L3588">
        <v>200068211</v>
      </c>
    </row>
    <row r="3589" spans="3:12">
      <c r="C3589">
        <v>2100300025</v>
      </c>
      <c r="D3589">
        <v>6426000</v>
      </c>
      <c r="E3589" t="s">
        <v>188</v>
      </c>
      <c r="F3589">
        <v>5210010105</v>
      </c>
      <c r="G3589" s="13">
        <v>2875</v>
      </c>
      <c r="I3589" t="s">
        <v>179</v>
      </c>
      <c r="J3589" t="s">
        <v>949</v>
      </c>
      <c r="K3589" t="s">
        <v>180</v>
      </c>
      <c r="L3589">
        <v>200072757</v>
      </c>
    </row>
    <row r="3590" spans="3:12">
      <c r="C3590">
        <v>2100300025</v>
      </c>
      <c r="D3590">
        <v>6426000</v>
      </c>
      <c r="E3590" t="s">
        <v>188</v>
      </c>
      <c r="F3590">
        <v>5210010105</v>
      </c>
      <c r="G3590" s="13">
        <v>2200</v>
      </c>
      <c r="I3590" t="s">
        <v>179</v>
      </c>
      <c r="J3590" t="s">
        <v>949</v>
      </c>
      <c r="K3590" t="s">
        <v>180</v>
      </c>
      <c r="L3590">
        <v>200070171</v>
      </c>
    </row>
    <row r="3591" spans="3:12">
      <c r="C3591">
        <v>2100300025</v>
      </c>
      <c r="D3591">
        <v>6426000</v>
      </c>
      <c r="E3591" t="s">
        <v>188</v>
      </c>
      <c r="F3591">
        <v>5210010105</v>
      </c>
      <c r="G3591" s="13">
        <v>2420</v>
      </c>
      <c r="I3591" t="s">
        <v>179</v>
      </c>
      <c r="J3591" t="s">
        <v>949</v>
      </c>
      <c r="K3591" t="s">
        <v>180</v>
      </c>
      <c r="L3591">
        <v>200072475</v>
      </c>
    </row>
    <row r="3592" spans="3:12">
      <c r="C3592">
        <v>2100300025</v>
      </c>
      <c r="D3592">
        <v>6426000</v>
      </c>
      <c r="E3592" t="s">
        <v>188</v>
      </c>
      <c r="F3592">
        <v>5210010105</v>
      </c>
      <c r="G3592" s="13">
        <v>176070</v>
      </c>
      <c r="I3592" t="s">
        <v>179</v>
      </c>
      <c r="J3592" t="s">
        <v>561</v>
      </c>
      <c r="K3592" t="s">
        <v>180</v>
      </c>
      <c r="L3592">
        <v>200071451</v>
      </c>
    </row>
    <row r="3593" spans="3:12">
      <c r="C3593">
        <v>2100300025</v>
      </c>
      <c r="D3593">
        <v>6426000</v>
      </c>
      <c r="E3593" t="s">
        <v>188</v>
      </c>
      <c r="F3593">
        <v>5210010105</v>
      </c>
      <c r="G3593" s="13">
        <v>1995</v>
      </c>
      <c r="I3593" t="s">
        <v>179</v>
      </c>
      <c r="J3593" t="s">
        <v>844</v>
      </c>
      <c r="K3593" t="s">
        <v>180</v>
      </c>
      <c r="L3593">
        <v>200075512</v>
      </c>
    </row>
    <row r="3594" spans="3:12">
      <c r="C3594">
        <v>2100300025</v>
      </c>
      <c r="D3594">
        <v>6426000</v>
      </c>
      <c r="E3594" t="s">
        <v>188</v>
      </c>
      <c r="F3594">
        <v>5210010105</v>
      </c>
      <c r="G3594" s="13">
        <v>-1256286</v>
      </c>
      <c r="I3594" t="s">
        <v>179</v>
      </c>
      <c r="J3594" t="s">
        <v>946</v>
      </c>
      <c r="K3594" t="s">
        <v>180</v>
      </c>
      <c r="L3594">
        <v>200084327</v>
      </c>
    </row>
    <row r="3595" spans="3:12">
      <c r="C3595">
        <v>2100300025</v>
      </c>
      <c r="D3595">
        <v>6426000</v>
      </c>
      <c r="E3595" t="s">
        <v>188</v>
      </c>
      <c r="F3595">
        <v>5210010105</v>
      </c>
      <c r="G3595" s="13">
        <v>329731.20000000001</v>
      </c>
      <c r="I3595" t="s">
        <v>179</v>
      </c>
      <c r="J3595" t="s">
        <v>946</v>
      </c>
      <c r="K3595" t="s">
        <v>180</v>
      </c>
      <c r="L3595">
        <v>200084326</v>
      </c>
    </row>
    <row r="3596" spans="3:12">
      <c r="C3596">
        <v>2100300025</v>
      </c>
      <c r="D3596">
        <v>6426000</v>
      </c>
      <c r="E3596" t="s">
        <v>188</v>
      </c>
      <c r="F3596">
        <v>5210010105</v>
      </c>
      <c r="G3596" s="13">
        <v>133250</v>
      </c>
      <c r="I3596" t="s">
        <v>179</v>
      </c>
      <c r="J3596" t="s">
        <v>946</v>
      </c>
      <c r="K3596" t="s">
        <v>180</v>
      </c>
      <c r="L3596">
        <v>200084446</v>
      </c>
    </row>
    <row r="3597" spans="3:12">
      <c r="C3597">
        <v>2100300025</v>
      </c>
      <c r="D3597">
        <v>6426000</v>
      </c>
      <c r="E3597" t="s">
        <v>188</v>
      </c>
      <c r="F3597">
        <v>5210010105</v>
      </c>
      <c r="G3597" s="13">
        <v>52000</v>
      </c>
      <c r="I3597" t="s">
        <v>179</v>
      </c>
      <c r="J3597" t="s">
        <v>946</v>
      </c>
      <c r="K3597" t="s">
        <v>180</v>
      </c>
      <c r="L3597">
        <v>200084447</v>
      </c>
    </row>
    <row r="3598" spans="3:12">
      <c r="C3598">
        <v>2100300025</v>
      </c>
      <c r="D3598">
        <v>6426000</v>
      </c>
      <c r="E3598" t="s">
        <v>188</v>
      </c>
      <c r="F3598">
        <v>5210010105</v>
      </c>
      <c r="G3598" s="13">
        <v>805000</v>
      </c>
      <c r="I3598" t="s">
        <v>179</v>
      </c>
      <c r="J3598" t="s">
        <v>946</v>
      </c>
      <c r="K3598" t="s">
        <v>180</v>
      </c>
      <c r="L3598">
        <v>200084448</v>
      </c>
    </row>
    <row r="3599" spans="3:12">
      <c r="C3599">
        <v>2100300025</v>
      </c>
      <c r="D3599">
        <v>6426000</v>
      </c>
      <c r="E3599" t="s">
        <v>188</v>
      </c>
      <c r="F3599">
        <v>5210010105</v>
      </c>
      <c r="G3599" s="13">
        <v>1197000</v>
      </c>
      <c r="I3599" t="s">
        <v>179</v>
      </c>
      <c r="J3599" t="s">
        <v>559</v>
      </c>
      <c r="K3599" t="s">
        <v>180</v>
      </c>
      <c r="L3599">
        <v>200084704</v>
      </c>
    </row>
    <row r="3600" spans="3:12">
      <c r="C3600">
        <v>2100300025</v>
      </c>
      <c r="D3600">
        <v>6426000</v>
      </c>
      <c r="E3600" t="s">
        <v>188</v>
      </c>
      <c r="F3600">
        <v>5210010105</v>
      </c>
      <c r="G3600" s="13">
        <v>1050</v>
      </c>
      <c r="I3600" t="s">
        <v>179</v>
      </c>
      <c r="J3600" t="s">
        <v>948</v>
      </c>
      <c r="K3600" t="s">
        <v>180</v>
      </c>
      <c r="L3600">
        <v>200076981</v>
      </c>
    </row>
    <row r="3601" spans="3:12">
      <c r="C3601">
        <v>2100300025</v>
      </c>
      <c r="D3601">
        <v>6426000</v>
      </c>
      <c r="E3601" t="s">
        <v>188</v>
      </c>
      <c r="F3601">
        <v>5210010105</v>
      </c>
      <c r="G3601" s="13">
        <v>88703</v>
      </c>
      <c r="I3601" t="s">
        <v>179</v>
      </c>
      <c r="J3601" t="s">
        <v>948</v>
      </c>
      <c r="K3601" t="s">
        <v>180</v>
      </c>
      <c r="L3601">
        <v>200078121</v>
      </c>
    </row>
    <row r="3602" spans="3:12">
      <c r="C3602">
        <v>2100300025</v>
      </c>
      <c r="D3602">
        <v>6426000</v>
      </c>
      <c r="E3602" t="s">
        <v>188</v>
      </c>
      <c r="F3602">
        <v>5210010105</v>
      </c>
      <c r="G3602" s="13">
        <v>30606</v>
      </c>
      <c r="I3602" t="s">
        <v>179</v>
      </c>
      <c r="J3602" t="s">
        <v>948</v>
      </c>
      <c r="K3602" t="s">
        <v>180</v>
      </c>
      <c r="L3602">
        <v>200078207</v>
      </c>
    </row>
    <row r="3603" spans="3:12">
      <c r="C3603">
        <v>2100300025</v>
      </c>
      <c r="D3603">
        <v>6426000</v>
      </c>
      <c r="E3603" t="s">
        <v>188</v>
      </c>
      <c r="F3603">
        <v>5210010105</v>
      </c>
      <c r="G3603" s="13">
        <v>76700</v>
      </c>
      <c r="I3603" t="s">
        <v>179</v>
      </c>
      <c r="J3603" t="s">
        <v>948</v>
      </c>
      <c r="K3603" t="s">
        <v>180</v>
      </c>
      <c r="L3603">
        <v>200076965</v>
      </c>
    </row>
    <row r="3604" spans="3:12">
      <c r="C3604">
        <v>2100300025</v>
      </c>
      <c r="D3604">
        <v>6426000</v>
      </c>
      <c r="E3604" t="s">
        <v>188</v>
      </c>
      <c r="F3604">
        <v>5210010105</v>
      </c>
      <c r="G3604" s="13">
        <v>16232.97</v>
      </c>
      <c r="I3604" t="s">
        <v>179</v>
      </c>
      <c r="J3604" t="s">
        <v>948</v>
      </c>
      <c r="K3604" t="s">
        <v>180</v>
      </c>
      <c r="L3604">
        <v>200076753</v>
      </c>
    </row>
    <row r="3605" spans="3:12">
      <c r="C3605">
        <v>2100300025</v>
      </c>
      <c r="D3605">
        <v>6426000</v>
      </c>
      <c r="E3605" t="s">
        <v>188</v>
      </c>
      <c r="F3605">
        <v>5210010105</v>
      </c>
      <c r="G3605" s="13">
        <v>41944</v>
      </c>
      <c r="I3605" t="s">
        <v>179</v>
      </c>
      <c r="J3605" t="s">
        <v>948</v>
      </c>
      <c r="K3605" t="s">
        <v>180</v>
      </c>
      <c r="L3605">
        <v>200076754</v>
      </c>
    </row>
    <row r="3606" spans="3:12">
      <c r="C3606">
        <v>2100300025</v>
      </c>
      <c r="D3606">
        <v>6426000</v>
      </c>
      <c r="E3606" t="s">
        <v>188</v>
      </c>
      <c r="F3606">
        <v>5210010105</v>
      </c>
      <c r="G3606" s="13">
        <v>51681</v>
      </c>
      <c r="I3606" t="s">
        <v>179</v>
      </c>
      <c r="J3606" t="s">
        <v>948</v>
      </c>
      <c r="K3606" t="s">
        <v>180</v>
      </c>
      <c r="L3606">
        <v>200076755</v>
      </c>
    </row>
    <row r="3607" spans="3:12">
      <c r="C3607">
        <v>2100300025</v>
      </c>
      <c r="D3607">
        <v>6426000</v>
      </c>
      <c r="E3607" t="s">
        <v>188</v>
      </c>
      <c r="F3607">
        <v>5210010105</v>
      </c>
      <c r="G3607" s="13">
        <v>27413.4</v>
      </c>
      <c r="I3607" t="s">
        <v>179</v>
      </c>
      <c r="J3607" t="s">
        <v>948</v>
      </c>
      <c r="K3607" t="s">
        <v>180</v>
      </c>
      <c r="L3607">
        <v>200076756</v>
      </c>
    </row>
    <row r="3608" spans="3:12">
      <c r="C3608">
        <v>2100300025</v>
      </c>
      <c r="D3608">
        <v>6426000</v>
      </c>
      <c r="E3608" t="s">
        <v>188</v>
      </c>
      <c r="F3608">
        <v>5210010105</v>
      </c>
      <c r="G3608" s="13">
        <v>6601.9</v>
      </c>
      <c r="I3608" t="s">
        <v>179</v>
      </c>
      <c r="J3608" t="s">
        <v>948</v>
      </c>
      <c r="K3608" t="s">
        <v>180</v>
      </c>
      <c r="L3608">
        <v>200076757</v>
      </c>
    </row>
    <row r="3609" spans="3:12">
      <c r="C3609">
        <v>2100300025</v>
      </c>
      <c r="D3609">
        <v>6426000</v>
      </c>
      <c r="E3609" t="s">
        <v>188</v>
      </c>
      <c r="F3609">
        <v>5210010105</v>
      </c>
      <c r="G3609" s="13">
        <v>2840.85</v>
      </c>
      <c r="I3609" t="s">
        <v>179</v>
      </c>
      <c r="J3609" t="s">
        <v>948</v>
      </c>
      <c r="K3609" t="s">
        <v>180</v>
      </c>
      <c r="L3609">
        <v>200076967</v>
      </c>
    </row>
    <row r="3610" spans="3:12">
      <c r="C3610">
        <v>2100300025</v>
      </c>
      <c r="D3610">
        <v>6426000</v>
      </c>
      <c r="E3610" t="s">
        <v>188</v>
      </c>
      <c r="F3610">
        <v>5210010105</v>
      </c>
      <c r="G3610">
        <v>969.42</v>
      </c>
      <c r="I3610" t="s">
        <v>179</v>
      </c>
      <c r="J3610" t="s">
        <v>948</v>
      </c>
      <c r="K3610" t="s">
        <v>180</v>
      </c>
      <c r="L3610">
        <v>200076968</v>
      </c>
    </row>
    <row r="3611" spans="3:12">
      <c r="C3611">
        <v>2100300025</v>
      </c>
      <c r="D3611">
        <v>6426000</v>
      </c>
      <c r="E3611" t="s">
        <v>188</v>
      </c>
      <c r="F3611">
        <v>5210010105</v>
      </c>
      <c r="G3611" s="13">
        <v>7918</v>
      </c>
      <c r="I3611" t="s">
        <v>179</v>
      </c>
      <c r="J3611" t="s">
        <v>948</v>
      </c>
      <c r="K3611" t="s">
        <v>180</v>
      </c>
      <c r="L3611">
        <v>200076969</v>
      </c>
    </row>
    <row r="3612" spans="3:12">
      <c r="C3612">
        <v>2100300025</v>
      </c>
      <c r="D3612">
        <v>6426000</v>
      </c>
      <c r="E3612" t="s">
        <v>188</v>
      </c>
      <c r="F3612">
        <v>5210010105</v>
      </c>
      <c r="G3612" s="13">
        <v>12250</v>
      </c>
      <c r="I3612" t="s">
        <v>179</v>
      </c>
      <c r="J3612" t="s">
        <v>948</v>
      </c>
      <c r="K3612" t="s">
        <v>180</v>
      </c>
      <c r="L3612">
        <v>200078213</v>
      </c>
    </row>
    <row r="3613" spans="3:12">
      <c r="C3613">
        <v>2100300025</v>
      </c>
      <c r="D3613">
        <v>6426000</v>
      </c>
      <c r="E3613" t="s">
        <v>188</v>
      </c>
      <c r="F3613">
        <v>5210010105</v>
      </c>
      <c r="G3613" s="13">
        <v>26750</v>
      </c>
      <c r="I3613" t="s">
        <v>179</v>
      </c>
      <c r="J3613" t="s">
        <v>948</v>
      </c>
      <c r="K3613" t="s">
        <v>180</v>
      </c>
      <c r="L3613">
        <v>200078218</v>
      </c>
    </row>
    <row r="3614" spans="3:12">
      <c r="C3614">
        <v>2100300025</v>
      </c>
      <c r="D3614">
        <v>6426000</v>
      </c>
      <c r="E3614" t="s">
        <v>188</v>
      </c>
      <c r="F3614">
        <v>5210010105</v>
      </c>
      <c r="G3614" s="13">
        <v>1177</v>
      </c>
      <c r="I3614" t="s">
        <v>179</v>
      </c>
      <c r="J3614" t="s">
        <v>948</v>
      </c>
      <c r="K3614" t="s">
        <v>180</v>
      </c>
      <c r="L3614">
        <v>200078219</v>
      </c>
    </row>
    <row r="3615" spans="3:12">
      <c r="C3615">
        <v>2100300025</v>
      </c>
      <c r="D3615">
        <v>6426000</v>
      </c>
      <c r="E3615" t="s">
        <v>188</v>
      </c>
      <c r="F3615">
        <v>5210010105</v>
      </c>
      <c r="G3615" s="13">
        <v>1284</v>
      </c>
      <c r="I3615" t="s">
        <v>179</v>
      </c>
      <c r="J3615" t="s">
        <v>948</v>
      </c>
      <c r="K3615" t="s">
        <v>180</v>
      </c>
      <c r="L3615">
        <v>200078220</v>
      </c>
    </row>
    <row r="3616" spans="3:12">
      <c r="C3616">
        <v>2100300025</v>
      </c>
      <c r="D3616">
        <v>6426000</v>
      </c>
      <c r="E3616" t="s">
        <v>188</v>
      </c>
      <c r="F3616">
        <v>5210010105</v>
      </c>
      <c r="G3616" s="13">
        <v>17160</v>
      </c>
      <c r="I3616" t="s">
        <v>179</v>
      </c>
      <c r="J3616" t="s">
        <v>948</v>
      </c>
      <c r="K3616" t="s">
        <v>180</v>
      </c>
      <c r="L3616">
        <v>200078221</v>
      </c>
    </row>
    <row r="3617" spans="3:12">
      <c r="C3617">
        <v>2100300025</v>
      </c>
      <c r="D3617">
        <v>6426000</v>
      </c>
      <c r="E3617" t="s">
        <v>188</v>
      </c>
      <c r="F3617">
        <v>5210010105</v>
      </c>
      <c r="G3617" s="13">
        <v>66000</v>
      </c>
      <c r="I3617" t="s">
        <v>179</v>
      </c>
      <c r="J3617" t="s">
        <v>948</v>
      </c>
      <c r="K3617" t="s">
        <v>180</v>
      </c>
      <c r="L3617">
        <v>200065160</v>
      </c>
    </row>
    <row r="3618" spans="3:12">
      <c r="C3618">
        <v>2100300025</v>
      </c>
      <c r="D3618">
        <v>6426000</v>
      </c>
      <c r="E3618" t="s">
        <v>188</v>
      </c>
      <c r="F3618">
        <v>5210010105</v>
      </c>
      <c r="G3618" s="13">
        <v>10000</v>
      </c>
      <c r="I3618" t="s">
        <v>179</v>
      </c>
      <c r="J3618" t="s">
        <v>948</v>
      </c>
      <c r="K3618" t="s">
        <v>180</v>
      </c>
      <c r="L3618">
        <v>200078130</v>
      </c>
    </row>
    <row r="3619" spans="3:12">
      <c r="C3619">
        <v>2100300025</v>
      </c>
      <c r="D3619">
        <v>6426000</v>
      </c>
      <c r="E3619" t="s">
        <v>188</v>
      </c>
      <c r="F3619">
        <v>5210010105</v>
      </c>
      <c r="G3619" s="13">
        <v>7600</v>
      </c>
      <c r="I3619" t="s">
        <v>179</v>
      </c>
      <c r="J3619" t="s">
        <v>948</v>
      </c>
      <c r="K3619" t="s">
        <v>180</v>
      </c>
      <c r="L3619">
        <v>200077116</v>
      </c>
    </row>
    <row r="3620" spans="3:12">
      <c r="C3620">
        <v>2100300025</v>
      </c>
      <c r="D3620">
        <v>6426000</v>
      </c>
      <c r="E3620" t="s">
        <v>188</v>
      </c>
      <c r="F3620">
        <v>5210010105</v>
      </c>
      <c r="G3620" s="13">
        <v>430100</v>
      </c>
      <c r="I3620" t="s">
        <v>179</v>
      </c>
      <c r="J3620" t="s">
        <v>943</v>
      </c>
      <c r="K3620" t="s">
        <v>180</v>
      </c>
      <c r="L3620">
        <v>200067862</v>
      </c>
    </row>
    <row r="3621" spans="3:12">
      <c r="C3621">
        <v>2100300025</v>
      </c>
      <c r="D3621">
        <v>6426000</v>
      </c>
      <c r="E3621" t="s">
        <v>188</v>
      </c>
      <c r="F3621">
        <v>5210010105</v>
      </c>
      <c r="G3621" s="13">
        <v>303000</v>
      </c>
      <c r="I3621" t="s">
        <v>179</v>
      </c>
      <c r="J3621" t="s">
        <v>943</v>
      </c>
      <c r="K3621" t="s">
        <v>180</v>
      </c>
      <c r="L3621">
        <v>200067863</v>
      </c>
    </row>
    <row r="3622" spans="3:12">
      <c r="C3622">
        <v>2100300025</v>
      </c>
      <c r="D3622">
        <v>6426000</v>
      </c>
      <c r="E3622" t="s">
        <v>188</v>
      </c>
      <c r="F3622">
        <v>5210010105</v>
      </c>
      <c r="G3622" s="13">
        <v>43800</v>
      </c>
      <c r="I3622" t="s">
        <v>179</v>
      </c>
      <c r="J3622" t="s">
        <v>943</v>
      </c>
      <c r="K3622" t="s">
        <v>180</v>
      </c>
      <c r="L3622">
        <v>200067864</v>
      </c>
    </row>
    <row r="3623" spans="3:12">
      <c r="C3623">
        <v>2100300025</v>
      </c>
      <c r="D3623">
        <v>6426000</v>
      </c>
      <c r="E3623" t="s">
        <v>188</v>
      </c>
      <c r="F3623">
        <v>5210010105</v>
      </c>
      <c r="G3623" s="13">
        <v>31000</v>
      </c>
      <c r="I3623" t="s">
        <v>179</v>
      </c>
      <c r="J3623" t="s">
        <v>943</v>
      </c>
      <c r="K3623" t="s">
        <v>180</v>
      </c>
      <c r="L3623">
        <v>200067865</v>
      </c>
    </row>
    <row r="3624" spans="3:12">
      <c r="C3624">
        <v>2100300025</v>
      </c>
      <c r="D3624">
        <v>6426000</v>
      </c>
      <c r="E3624" t="s">
        <v>188</v>
      </c>
      <c r="F3624">
        <v>5210010105</v>
      </c>
      <c r="G3624" s="13">
        <v>19550</v>
      </c>
      <c r="I3624" t="s">
        <v>179</v>
      </c>
      <c r="J3624" t="s">
        <v>943</v>
      </c>
      <c r="K3624" t="s">
        <v>180</v>
      </c>
      <c r="L3624">
        <v>200067866</v>
      </c>
    </row>
    <row r="3625" spans="3:12">
      <c r="C3625">
        <v>2100300025</v>
      </c>
      <c r="D3625">
        <v>6426000</v>
      </c>
      <c r="E3625" t="s">
        <v>188</v>
      </c>
      <c r="F3625">
        <v>5210010105</v>
      </c>
      <c r="G3625" s="13">
        <v>92000</v>
      </c>
      <c r="I3625" t="s">
        <v>179</v>
      </c>
      <c r="J3625" t="s">
        <v>943</v>
      </c>
      <c r="K3625" t="s">
        <v>180</v>
      </c>
      <c r="L3625">
        <v>200067867</v>
      </c>
    </row>
    <row r="3626" spans="3:12">
      <c r="C3626">
        <v>2100300025</v>
      </c>
      <c r="D3626">
        <v>6426000</v>
      </c>
      <c r="E3626" t="s">
        <v>188</v>
      </c>
      <c r="F3626">
        <v>5210010105</v>
      </c>
      <c r="G3626" s="13">
        <v>10500</v>
      </c>
      <c r="I3626" t="s">
        <v>179</v>
      </c>
      <c r="J3626" t="s">
        <v>943</v>
      </c>
      <c r="K3626" t="s">
        <v>180</v>
      </c>
      <c r="L3626">
        <v>200067868</v>
      </c>
    </row>
    <row r="3627" spans="3:12">
      <c r="C3627">
        <v>2100300025</v>
      </c>
      <c r="D3627">
        <v>6426000</v>
      </c>
      <c r="E3627" t="s">
        <v>188</v>
      </c>
      <c r="F3627">
        <v>5210010105</v>
      </c>
      <c r="G3627" s="13">
        <v>101400</v>
      </c>
      <c r="I3627" t="s">
        <v>179</v>
      </c>
      <c r="J3627" t="s">
        <v>561</v>
      </c>
      <c r="K3627" t="s">
        <v>180</v>
      </c>
      <c r="L3627">
        <v>200069280</v>
      </c>
    </row>
    <row r="3628" spans="3:12">
      <c r="C3628">
        <v>2100300025</v>
      </c>
      <c r="D3628">
        <v>6426000</v>
      </c>
      <c r="E3628" t="s">
        <v>188</v>
      </c>
      <c r="F3628">
        <v>5210010105</v>
      </c>
      <c r="G3628" s="13">
        <v>2000</v>
      </c>
      <c r="I3628" t="s">
        <v>179</v>
      </c>
      <c r="J3628" t="s">
        <v>947</v>
      </c>
      <c r="K3628" t="s">
        <v>180</v>
      </c>
      <c r="L3628">
        <v>200080658</v>
      </c>
    </row>
    <row r="3629" spans="3:12">
      <c r="C3629">
        <v>2100300025</v>
      </c>
      <c r="D3629">
        <v>6426000</v>
      </c>
      <c r="E3629" t="s">
        <v>188</v>
      </c>
      <c r="F3629">
        <v>5210010105</v>
      </c>
      <c r="G3629" s="13">
        <v>17201.52</v>
      </c>
      <c r="I3629" t="s">
        <v>179</v>
      </c>
      <c r="J3629" t="s">
        <v>946</v>
      </c>
      <c r="K3629" t="s">
        <v>180</v>
      </c>
      <c r="L3629">
        <v>200084325</v>
      </c>
    </row>
    <row r="3630" spans="3:12">
      <c r="C3630">
        <v>2100300025</v>
      </c>
      <c r="D3630">
        <v>6426000</v>
      </c>
      <c r="E3630" t="s">
        <v>188</v>
      </c>
      <c r="F3630">
        <v>5210010105</v>
      </c>
      <c r="G3630" s="13">
        <v>11770</v>
      </c>
      <c r="I3630" t="s">
        <v>179</v>
      </c>
      <c r="J3630" t="s">
        <v>559</v>
      </c>
      <c r="K3630" t="s">
        <v>180</v>
      </c>
      <c r="L3630">
        <v>200084801</v>
      </c>
    </row>
    <row r="3631" spans="3:12">
      <c r="C3631">
        <v>2100300025</v>
      </c>
      <c r="D3631">
        <v>6426000</v>
      </c>
      <c r="E3631" t="s">
        <v>188</v>
      </c>
      <c r="F3631">
        <v>5210010105</v>
      </c>
      <c r="G3631" s="13">
        <v>2992</v>
      </c>
      <c r="I3631" t="s">
        <v>179</v>
      </c>
      <c r="J3631" t="s">
        <v>948</v>
      </c>
      <c r="K3631" t="s">
        <v>180</v>
      </c>
      <c r="L3631">
        <v>200078401</v>
      </c>
    </row>
    <row r="3632" spans="3:12">
      <c r="C3632">
        <v>2100300025</v>
      </c>
      <c r="D3632">
        <v>6426000</v>
      </c>
      <c r="E3632" t="s">
        <v>188</v>
      </c>
      <c r="F3632">
        <v>5210010105</v>
      </c>
      <c r="G3632" s="13">
        <v>49650</v>
      </c>
      <c r="I3632" t="s">
        <v>179</v>
      </c>
      <c r="J3632" t="s">
        <v>950</v>
      </c>
      <c r="K3632" t="s">
        <v>180</v>
      </c>
      <c r="L3632">
        <v>200079064</v>
      </c>
    </row>
    <row r="3633" spans="3:12">
      <c r="C3633">
        <v>2100300025</v>
      </c>
      <c r="D3633">
        <v>6426000</v>
      </c>
      <c r="E3633" t="s">
        <v>188</v>
      </c>
      <c r="F3633">
        <v>5210010105</v>
      </c>
      <c r="G3633" s="13">
        <v>1500</v>
      </c>
      <c r="I3633" t="s">
        <v>179</v>
      </c>
      <c r="J3633" t="s">
        <v>950</v>
      </c>
      <c r="K3633" t="s">
        <v>180</v>
      </c>
      <c r="L3633">
        <v>200079065</v>
      </c>
    </row>
    <row r="3634" spans="3:12">
      <c r="C3634">
        <v>2100300025</v>
      </c>
      <c r="D3634">
        <v>6426000</v>
      </c>
      <c r="E3634" t="s">
        <v>188</v>
      </c>
      <c r="F3634">
        <v>5210010105</v>
      </c>
      <c r="G3634" s="13">
        <v>32500</v>
      </c>
      <c r="I3634" t="s">
        <v>179</v>
      </c>
      <c r="J3634" t="s">
        <v>950</v>
      </c>
      <c r="K3634" t="s">
        <v>180</v>
      </c>
      <c r="L3634">
        <v>200001567</v>
      </c>
    </row>
    <row r="3635" spans="3:12">
      <c r="C3635">
        <v>2100300025</v>
      </c>
      <c r="D3635">
        <v>6426000</v>
      </c>
      <c r="E3635" t="s">
        <v>188</v>
      </c>
      <c r="F3635">
        <v>5210010105</v>
      </c>
      <c r="G3635" s="13">
        <v>43000</v>
      </c>
      <c r="I3635" t="s">
        <v>179</v>
      </c>
      <c r="J3635" t="s">
        <v>950</v>
      </c>
      <c r="K3635" t="s">
        <v>180</v>
      </c>
      <c r="L3635">
        <v>200079066</v>
      </c>
    </row>
    <row r="3636" spans="3:12">
      <c r="C3636">
        <v>2100300025</v>
      </c>
      <c r="D3636">
        <v>6426000</v>
      </c>
      <c r="E3636" t="s">
        <v>188</v>
      </c>
      <c r="F3636">
        <v>5210010105</v>
      </c>
      <c r="G3636" s="13">
        <v>20000</v>
      </c>
      <c r="I3636" t="s">
        <v>179</v>
      </c>
      <c r="J3636" t="s">
        <v>950</v>
      </c>
      <c r="K3636" t="s">
        <v>180</v>
      </c>
      <c r="L3636">
        <v>200080137</v>
      </c>
    </row>
    <row r="3637" spans="3:12">
      <c r="C3637">
        <v>2100300025</v>
      </c>
      <c r="D3637">
        <v>6426000</v>
      </c>
      <c r="E3637" t="s">
        <v>188</v>
      </c>
      <c r="F3637">
        <v>5210010105</v>
      </c>
      <c r="G3637" s="13">
        <v>14000</v>
      </c>
      <c r="I3637" t="s">
        <v>179</v>
      </c>
      <c r="J3637" t="s">
        <v>950</v>
      </c>
      <c r="K3637" t="s">
        <v>180</v>
      </c>
      <c r="L3637">
        <v>200001568</v>
      </c>
    </row>
    <row r="3638" spans="3:12">
      <c r="C3638">
        <v>2100300025</v>
      </c>
      <c r="D3638">
        <v>6426000</v>
      </c>
      <c r="E3638" t="s">
        <v>188</v>
      </c>
      <c r="F3638">
        <v>5210010105</v>
      </c>
      <c r="G3638" s="13">
        <v>7968.53</v>
      </c>
      <c r="I3638" t="s">
        <v>179</v>
      </c>
      <c r="J3638" t="s">
        <v>950</v>
      </c>
      <c r="K3638" t="s">
        <v>180</v>
      </c>
      <c r="L3638">
        <v>200001569</v>
      </c>
    </row>
    <row r="3639" spans="3:12">
      <c r="C3639">
        <v>2100300025</v>
      </c>
      <c r="D3639">
        <v>6426000</v>
      </c>
      <c r="E3639" t="s">
        <v>188</v>
      </c>
      <c r="F3639">
        <v>5210010105</v>
      </c>
      <c r="G3639" s="13">
        <v>67276.94</v>
      </c>
      <c r="I3639" t="s">
        <v>179</v>
      </c>
      <c r="J3639" t="s">
        <v>950</v>
      </c>
      <c r="K3639" t="s">
        <v>180</v>
      </c>
      <c r="L3639">
        <v>200079408</v>
      </c>
    </row>
    <row r="3640" spans="3:12">
      <c r="C3640">
        <v>2100300025</v>
      </c>
      <c r="D3640">
        <v>6426000</v>
      </c>
      <c r="E3640" t="s">
        <v>188</v>
      </c>
      <c r="F3640">
        <v>5210010105</v>
      </c>
      <c r="G3640">
        <v>340</v>
      </c>
      <c r="I3640" t="s">
        <v>179</v>
      </c>
      <c r="J3640" t="s">
        <v>950</v>
      </c>
      <c r="K3640" t="s">
        <v>180</v>
      </c>
      <c r="L3640">
        <v>200077573</v>
      </c>
    </row>
    <row r="3641" spans="3:12">
      <c r="C3641">
        <v>2100300025</v>
      </c>
      <c r="D3641">
        <v>6426000</v>
      </c>
      <c r="E3641" t="s">
        <v>188</v>
      </c>
      <c r="F3641">
        <v>5210010105</v>
      </c>
      <c r="G3641">
        <v>427</v>
      </c>
      <c r="I3641" t="s">
        <v>179</v>
      </c>
      <c r="J3641" t="s">
        <v>950</v>
      </c>
      <c r="K3641" t="s">
        <v>180</v>
      </c>
      <c r="L3641">
        <v>200077574</v>
      </c>
    </row>
    <row r="3642" spans="3:12">
      <c r="C3642">
        <v>2100300025</v>
      </c>
      <c r="D3642">
        <v>6426000</v>
      </c>
      <c r="E3642" t="s">
        <v>188</v>
      </c>
      <c r="F3642">
        <v>5210010105</v>
      </c>
      <c r="G3642" s="13">
        <v>12305</v>
      </c>
      <c r="I3642" t="s">
        <v>179</v>
      </c>
      <c r="J3642" t="s">
        <v>950</v>
      </c>
      <c r="K3642" t="s">
        <v>180</v>
      </c>
      <c r="L3642">
        <v>200079524</v>
      </c>
    </row>
    <row r="3643" spans="3:12">
      <c r="C3643">
        <v>2100300025</v>
      </c>
      <c r="D3643">
        <v>6426000</v>
      </c>
      <c r="E3643" t="s">
        <v>188</v>
      </c>
      <c r="F3643">
        <v>5210010105</v>
      </c>
      <c r="G3643" s="13">
        <v>1965</v>
      </c>
      <c r="I3643" t="s">
        <v>179</v>
      </c>
      <c r="J3643" t="s">
        <v>951</v>
      </c>
      <c r="K3643" t="s">
        <v>180</v>
      </c>
      <c r="L3643">
        <v>200083844</v>
      </c>
    </row>
    <row r="3644" spans="3:12">
      <c r="C3644">
        <v>2100300025</v>
      </c>
      <c r="D3644">
        <v>6426000</v>
      </c>
      <c r="E3644" t="s">
        <v>188</v>
      </c>
      <c r="F3644">
        <v>5210010105</v>
      </c>
      <c r="G3644" s="13">
        <v>1892</v>
      </c>
      <c r="I3644" t="s">
        <v>179</v>
      </c>
      <c r="J3644" t="s">
        <v>951</v>
      </c>
      <c r="K3644" t="s">
        <v>180</v>
      </c>
      <c r="L3644">
        <v>200083845</v>
      </c>
    </row>
    <row r="3645" spans="3:12">
      <c r="C3645">
        <v>2100300025</v>
      </c>
      <c r="D3645">
        <v>6426000</v>
      </c>
      <c r="E3645" t="s">
        <v>188</v>
      </c>
      <c r="F3645">
        <v>5210010105</v>
      </c>
      <c r="G3645" s="13">
        <v>2400</v>
      </c>
      <c r="I3645" t="s">
        <v>179</v>
      </c>
      <c r="J3645" t="s">
        <v>846</v>
      </c>
      <c r="K3645" t="s">
        <v>180</v>
      </c>
      <c r="L3645">
        <v>200088431</v>
      </c>
    </row>
    <row r="3646" spans="3:12">
      <c r="C3646">
        <v>2100300025</v>
      </c>
      <c r="D3646">
        <v>6426000</v>
      </c>
      <c r="E3646" t="s">
        <v>188</v>
      </c>
      <c r="F3646">
        <v>5210010105</v>
      </c>
      <c r="G3646" s="13">
        <v>3000</v>
      </c>
      <c r="I3646" t="s">
        <v>179</v>
      </c>
      <c r="J3646" t="s">
        <v>846</v>
      </c>
      <c r="K3646" t="s">
        <v>180</v>
      </c>
      <c r="L3646">
        <v>200088522</v>
      </c>
    </row>
    <row r="3647" spans="3:12">
      <c r="C3647">
        <v>2100300025</v>
      </c>
      <c r="D3647">
        <v>6426000</v>
      </c>
      <c r="E3647" t="s">
        <v>188</v>
      </c>
      <c r="F3647">
        <v>5210010105</v>
      </c>
      <c r="G3647">
        <v>340</v>
      </c>
      <c r="I3647" t="s">
        <v>179</v>
      </c>
      <c r="J3647" t="s">
        <v>846</v>
      </c>
      <c r="K3647" t="s">
        <v>180</v>
      </c>
      <c r="L3647">
        <v>200087857</v>
      </c>
    </row>
    <row r="3648" spans="3:12">
      <c r="C3648">
        <v>2100300025</v>
      </c>
      <c r="D3648">
        <v>6426000</v>
      </c>
      <c r="E3648" t="s">
        <v>188</v>
      </c>
      <c r="F3648">
        <v>5210010105</v>
      </c>
      <c r="G3648" s="13">
        <v>5820</v>
      </c>
      <c r="I3648" t="s">
        <v>179</v>
      </c>
      <c r="J3648" t="s">
        <v>846</v>
      </c>
      <c r="K3648" t="s">
        <v>180</v>
      </c>
      <c r="L3648">
        <v>200083965</v>
      </c>
    </row>
    <row r="3649" spans="3:12">
      <c r="C3649">
        <v>2100300025</v>
      </c>
      <c r="D3649">
        <v>6426000</v>
      </c>
      <c r="E3649" t="s">
        <v>188</v>
      </c>
      <c r="F3649">
        <v>5210010105</v>
      </c>
      <c r="G3649">
        <v>440</v>
      </c>
      <c r="I3649" t="s">
        <v>179</v>
      </c>
      <c r="J3649" t="s">
        <v>846</v>
      </c>
      <c r="K3649" t="s">
        <v>180</v>
      </c>
      <c r="L3649">
        <v>200086660</v>
      </c>
    </row>
    <row r="3650" spans="3:12">
      <c r="C3650">
        <v>2100300025</v>
      </c>
      <c r="D3650">
        <v>6426000</v>
      </c>
      <c r="E3650" t="s">
        <v>188</v>
      </c>
      <c r="F3650">
        <v>5210010105</v>
      </c>
      <c r="G3650" s="13">
        <v>58000</v>
      </c>
      <c r="I3650" t="s">
        <v>179</v>
      </c>
      <c r="J3650" t="s">
        <v>846</v>
      </c>
      <c r="K3650" t="s">
        <v>180</v>
      </c>
      <c r="L3650">
        <v>200086661</v>
      </c>
    </row>
    <row r="3651" spans="3:12">
      <c r="C3651">
        <v>2100300025</v>
      </c>
      <c r="D3651">
        <v>6426000</v>
      </c>
      <c r="E3651" t="s">
        <v>188</v>
      </c>
      <c r="F3651">
        <v>5210010105</v>
      </c>
      <c r="G3651" s="13">
        <v>2265</v>
      </c>
      <c r="I3651" t="s">
        <v>179</v>
      </c>
      <c r="J3651" t="s">
        <v>848</v>
      </c>
      <c r="K3651" t="s">
        <v>180</v>
      </c>
      <c r="L3651">
        <v>200087582</v>
      </c>
    </row>
    <row r="3652" spans="3:12">
      <c r="C3652">
        <v>2100300025</v>
      </c>
      <c r="D3652">
        <v>6426000</v>
      </c>
      <c r="E3652" t="s">
        <v>188</v>
      </c>
      <c r="F3652">
        <v>5210010105</v>
      </c>
      <c r="G3652" s="13">
        <v>2440</v>
      </c>
      <c r="I3652" t="s">
        <v>179</v>
      </c>
      <c r="J3652" t="s">
        <v>848</v>
      </c>
      <c r="K3652" t="s">
        <v>180</v>
      </c>
      <c r="L3652">
        <v>200087583</v>
      </c>
    </row>
    <row r="3653" spans="3:12">
      <c r="C3653">
        <v>2100300025</v>
      </c>
      <c r="D3653">
        <v>6426000</v>
      </c>
      <c r="E3653" t="s">
        <v>188</v>
      </c>
      <c r="F3653">
        <v>5210010105</v>
      </c>
      <c r="G3653">
        <v>720</v>
      </c>
      <c r="I3653" t="s">
        <v>179</v>
      </c>
      <c r="J3653" t="s">
        <v>848</v>
      </c>
      <c r="K3653" t="s">
        <v>180</v>
      </c>
      <c r="L3653">
        <v>200087584</v>
      </c>
    </row>
    <row r="3654" spans="3:12">
      <c r="C3654">
        <v>2100300025</v>
      </c>
      <c r="D3654">
        <v>6426000</v>
      </c>
      <c r="E3654" t="s">
        <v>188</v>
      </c>
      <c r="F3654">
        <v>5210010105</v>
      </c>
      <c r="G3654" s="13">
        <v>1805</v>
      </c>
      <c r="I3654" t="s">
        <v>179</v>
      </c>
      <c r="J3654" t="s">
        <v>848</v>
      </c>
      <c r="K3654" t="s">
        <v>180</v>
      </c>
      <c r="L3654">
        <v>200087585</v>
      </c>
    </row>
    <row r="3655" spans="3:12">
      <c r="C3655">
        <v>2100300025</v>
      </c>
      <c r="D3655">
        <v>6426000</v>
      </c>
      <c r="E3655" t="s">
        <v>188</v>
      </c>
      <c r="F3655">
        <v>5210010105</v>
      </c>
      <c r="G3655" s="13">
        <v>1479</v>
      </c>
      <c r="I3655" t="s">
        <v>179</v>
      </c>
      <c r="J3655" t="s">
        <v>848</v>
      </c>
      <c r="K3655" t="s">
        <v>180</v>
      </c>
      <c r="L3655">
        <v>200087586</v>
      </c>
    </row>
    <row r="3656" spans="3:12">
      <c r="C3656">
        <v>2100300025</v>
      </c>
      <c r="D3656">
        <v>6426000</v>
      </c>
      <c r="E3656" t="s">
        <v>188</v>
      </c>
      <c r="F3656">
        <v>5210010105</v>
      </c>
      <c r="G3656" s="13">
        <v>13995</v>
      </c>
      <c r="I3656" t="s">
        <v>179</v>
      </c>
      <c r="J3656" t="s">
        <v>848</v>
      </c>
      <c r="K3656" t="s">
        <v>180</v>
      </c>
      <c r="L3656">
        <v>200087587</v>
      </c>
    </row>
    <row r="3657" spans="3:12">
      <c r="C3657">
        <v>2100300025</v>
      </c>
      <c r="D3657">
        <v>6426000</v>
      </c>
      <c r="E3657" t="s">
        <v>188</v>
      </c>
      <c r="F3657">
        <v>5210010105</v>
      </c>
      <c r="G3657" s="13">
        <v>2000</v>
      </c>
      <c r="I3657" t="s">
        <v>179</v>
      </c>
      <c r="J3657" t="s">
        <v>848</v>
      </c>
      <c r="K3657" t="s">
        <v>180</v>
      </c>
      <c r="L3657">
        <v>200087588</v>
      </c>
    </row>
    <row r="3658" spans="3:12">
      <c r="C3658">
        <v>2100300025</v>
      </c>
      <c r="D3658">
        <v>6426000</v>
      </c>
      <c r="E3658" t="s">
        <v>188</v>
      </c>
      <c r="F3658">
        <v>5210010105</v>
      </c>
      <c r="G3658" s="13">
        <v>4900</v>
      </c>
      <c r="I3658" t="s">
        <v>179</v>
      </c>
      <c r="J3658" t="s">
        <v>848</v>
      </c>
      <c r="K3658" t="s">
        <v>180</v>
      </c>
      <c r="L3658">
        <v>200083581</v>
      </c>
    </row>
    <row r="3659" spans="3:12">
      <c r="C3659">
        <v>2100300025</v>
      </c>
      <c r="D3659">
        <v>6426000</v>
      </c>
      <c r="E3659" t="s">
        <v>188</v>
      </c>
      <c r="F3659">
        <v>5210010105</v>
      </c>
      <c r="G3659">
        <v>630</v>
      </c>
      <c r="I3659" t="s">
        <v>179</v>
      </c>
      <c r="J3659" t="s">
        <v>848</v>
      </c>
      <c r="K3659" t="s">
        <v>180</v>
      </c>
      <c r="L3659">
        <v>200087589</v>
      </c>
    </row>
    <row r="3660" spans="3:12">
      <c r="C3660">
        <v>2100300025</v>
      </c>
      <c r="D3660">
        <v>6426000</v>
      </c>
      <c r="E3660" t="s">
        <v>188</v>
      </c>
      <c r="F3660">
        <v>5210010105</v>
      </c>
      <c r="G3660" s="13">
        <v>1000</v>
      </c>
      <c r="I3660" t="s">
        <v>179</v>
      </c>
      <c r="J3660" t="s">
        <v>848</v>
      </c>
      <c r="K3660" t="s">
        <v>180</v>
      </c>
      <c r="L3660">
        <v>200088106</v>
      </c>
    </row>
    <row r="3661" spans="3:12">
      <c r="C3661">
        <v>2100300025</v>
      </c>
      <c r="D3661">
        <v>6426000</v>
      </c>
      <c r="E3661" t="s">
        <v>188</v>
      </c>
      <c r="F3661">
        <v>5210010105</v>
      </c>
      <c r="G3661" s="13">
        <v>1200</v>
      </c>
      <c r="I3661" t="s">
        <v>179</v>
      </c>
      <c r="J3661" t="s">
        <v>848</v>
      </c>
      <c r="K3661" t="s">
        <v>180</v>
      </c>
      <c r="L3661">
        <v>200088107</v>
      </c>
    </row>
    <row r="3662" spans="3:12">
      <c r="C3662">
        <v>2100300025</v>
      </c>
      <c r="D3662">
        <v>6426000</v>
      </c>
      <c r="E3662" t="s">
        <v>188</v>
      </c>
      <c r="F3662">
        <v>5210010105</v>
      </c>
      <c r="G3662" s="13">
        <v>2300</v>
      </c>
      <c r="I3662" t="s">
        <v>179</v>
      </c>
      <c r="J3662" t="s">
        <v>848</v>
      </c>
      <c r="K3662" t="s">
        <v>180</v>
      </c>
      <c r="L3662">
        <v>200087631</v>
      </c>
    </row>
    <row r="3663" spans="3:12">
      <c r="C3663">
        <v>2100300025</v>
      </c>
      <c r="D3663">
        <v>6426000</v>
      </c>
      <c r="E3663" t="s">
        <v>188</v>
      </c>
      <c r="F3663">
        <v>5210010105</v>
      </c>
      <c r="G3663" s="13">
        <v>4333.5</v>
      </c>
      <c r="I3663" t="s">
        <v>179</v>
      </c>
      <c r="J3663" t="s">
        <v>848</v>
      </c>
      <c r="K3663" t="s">
        <v>180</v>
      </c>
      <c r="L3663">
        <v>200087591</v>
      </c>
    </row>
    <row r="3664" spans="3:12">
      <c r="C3664">
        <v>2100300025</v>
      </c>
      <c r="D3664">
        <v>6426000</v>
      </c>
      <c r="E3664" t="s">
        <v>188</v>
      </c>
      <c r="F3664">
        <v>5210010105</v>
      </c>
      <c r="G3664" s="13">
        <v>2680992</v>
      </c>
      <c r="I3664" t="s">
        <v>179</v>
      </c>
      <c r="J3664" t="s">
        <v>848</v>
      </c>
      <c r="K3664" t="s">
        <v>180</v>
      </c>
      <c r="L3664">
        <v>200087595</v>
      </c>
    </row>
    <row r="3665" spans="3:12">
      <c r="C3665">
        <v>2100300025</v>
      </c>
      <c r="D3665">
        <v>6426000</v>
      </c>
      <c r="E3665" t="s">
        <v>188</v>
      </c>
      <c r="F3665">
        <v>5210010105</v>
      </c>
      <c r="G3665" s="13">
        <v>5600</v>
      </c>
      <c r="I3665" t="s">
        <v>179</v>
      </c>
      <c r="J3665" t="s">
        <v>847</v>
      </c>
      <c r="K3665" t="s">
        <v>180</v>
      </c>
      <c r="L3665">
        <v>200077567</v>
      </c>
    </row>
    <row r="3666" spans="3:12">
      <c r="C3666">
        <v>2100300025</v>
      </c>
      <c r="D3666">
        <v>6426000</v>
      </c>
      <c r="E3666" t="s">
        <v>188</v>
      </c>
      <c r="F3666">
        <v>5210010105</v>
      </c>
      <c r="G3666" s="13">
        <v>3900</v>
      </c>
      <c r="I3666" t="s">
        <v>179</v>
      </c>
      <c r="J3666" t="s">
        <v>847</v>
      </c>
      <c r="K3666" t="s">
        <v>180</v>
      </c>
      <c r="L3666">
        <v>200079175</v>
      </c>
    </row>
    <row r="3667" spans="3:12">
      <c r="C3667">
        <v>2100300025</v>
      </c>
      <c r="D3667">
        <v>6426000</v>
      </c>
      <c r="E3667" t="s">
        <v>188</v>
      </c>
      <c r="F3667">
        <v>5210010105</v>
      </c>
      <c r="G3667">
        <v>680</v>
      </c>
      <c r="I3667" t="s">
        <v>179</v>
      </c>
      <c r="J3667" t="s">
        <v>847</v>
      </c>
      <c r="K3667" t="s">
        <v>180</v>
      </c>
      <c r="L3667">
        <v>200079176</v>
      </c>
    </row>
    <row r="3668" spans="3:12">
      <c r="C3668">
        <v>2100300025</v>
      </c>
      <c r="D3668">
        <v>6426000</v>
      </c>
      <c r="E3668" t="s">
        <v>188</v>
      </c>
      <c r="F3668">
        <v>5210010105</v>
      </c>
      <c r="G3668" s="13">
        <v>1000</v>
      </c>
      <c r="I3668" t="s">
        <v>179</v>
      </c>
      <c r="J3668" t="s">
        <v>847</v>
      </c>
      <c r="K3668" t="s">
        <v>180</v>
      </c>
      <c r="L3668">
        <v>200079177</v>
      </c>
    </row>
    <row r="3669" spans="3:12">
      <c r="C3669">
        <v>2100300025</v>
      </c>
      <c r="D3669">
        <v>6426000</v>
      </c>
      <c r="E3669" t="s">
        <v>188</v>
      </c>
      <c r="F3669">
        <v>5210010105</v>
      </c>
      <c r="G3669" s="13">
        <v>379017</v>
      </c>
      <c r="I3669" t="s">
        <v>179</v>
      </c>
      <c r="J3669" t="s">
        <v>847</v>
      </c>
      <c r="K3669" t="s">
        <v>180</v>
      </c>
      <c r="L3669">
        <v>200079178</v>
      </c>
    </row>
    <row r="3670" spans="3:12">
      <c r="C3670">
        <v>2100300025</v>
      </c>
      <c r="D3670">
        <v>6426000</v>
      </c>
      <c r="E3670" t="s">
        <v>188</v>
      </c>
      <c r="F3670">
        <v>5210010105</v>
      </c>
      <c r="G3670" s="13">
        <v>11368</v>
      </c>
      <c r="I3670" t="s">
        <v>179</v>
      </c>
      <c r="J3670" t="s">
        <v>952</v>
      </c>
      <c r="K3670" t="s">
        <v>180</v>
      </c>
      <c r="L3670">
        <v>200082452</v>
      </c>
    </row>
    <row r="3671" spans="3:12">
      <c r="C3671">
        <v>2100300025</v>
      </c>
      <c r="D3671">
        <v>6426000</v>
      </c>
      <c r="E3671" t="s">
        <v>188</v>
      </c>
      <c r="F3671">
        <v>5210010105</v>
      </c>
      <c r="G3671" s="13">
        <v>3020</v>
      </c>
      <c r="I3671" t="s">
        <v>179</v>
      </c>
      <c r="J3671" t="s">
        <v>952</v>
      </c>
      <c r="K3671" t="s">
        <v>180</v>
      </c>
      <c r="L3671">
        <v>200082516</v>
      </c>
    </row>
    <row r="3672" spans="3:12">
      <c r="C3672">
        <v>2100300025</v>
      </c>
      <c r="D3672">
        <v>6426000</v>
      </c>
      <c r="E3672" t="s">
        <v>188</v>
      </c>
      <c r="F3672">
        <v>5210010105</v>
      </c>
      <c r="G3672" s="13">
        <v>3000</v>
      </c>
      <c r="I3672" t="s">
        <v>179</v>
      </c>
      <c r="J3672" t="s">
        <v>952</v>
      </c>
      <c r="K3672" t="s">
        <v>180</v>
      </c>
      <c r="L3672">
        <v>200082173</v>
      </c>
    </row>
    <row r="3673" spans="3:12">
      <c r="C3673">
        <v>2100300025</v>
      </c>
      <c r="D3673">
        <v>6426000</v>
      </c>
      <c r="E3673" t="s">
        <v>188</v>
      </c>
      <c r="F3673">
        <v>5210010105</v>
      </c>
      <c r="G3673">
        <v>100</v>
      </c>
      <c r="I3673" t="s">
        <v>179</v>
      </c>
      <c r="J3673" t="s">
        <v>952</v>
      </c>
      <c r="K3673" t="s">
        <v>180</v>
      </c>
      <c r="L3673">
        <v>200082174</v>
      </c>
    </row>
    <row r="3674" spans="3:12">
      <c r="C3674">
        <v>2100300025</v>
      </c>
      <c r="D3674">
        <v>6426000</v>
      </c>
      <c r="E3674" t="s">
        <v>188</v>
      </c>
      <c r="F3674">
        <v>5210010105</v>
      </c>
      <c r="G3674" s="13">
        <v>42160</v>
      </c>
      <c r="I3674" t="s">
        <v>179</v>
      </c>
      <c r="J3674" t="s">
        <v>952</v>
      </c>
      <c r="K3674" t="s">
        <v>180</v>
      </c>
      <c r="L3674">
        <v>200082175</v>
      </c>
    </row>
    <row r="3675" spans="3:12">
      <c r="C3675">
        <v>2100300025</v>
      </c>
      <c r="D3675">
        <v>6426000</v>
      </c>
      <c r="E3675" t="s">
        <v>188</v>
      </c>
      <c r="F3675">
        <v>5210010105</v>
      </c>
      <c r="G3675" s="13">
        <v>3600</v>
      </c>
      <c r="I3675" t="s">
        <v>179</v>
      </c>
      <c r="J3675" t="s">
        <v>952</v>
      </c>
      <c r="K3675" t="s">
        <v>180</v>
      </c>
      <c r="L3675">
        <v>200082225</v>
      </c>
    </row>
    <row r="3676" spans="3:12">
      <c r="C3676">
        <v>2100300025</v>
      </c>
      <c r="D3676">
        <v>6426000</v>
      </c>
      <c r="E3676" t="s">
        <v>188</v>
      </c>
      <c r="F3676">
        <v>5210010105</v>
      </c>
      <c r="G3676" s="13">
        <v>2100</v>
      </c>
      <c r="I3676" t="s">
        <v>179</v>
      </c>
      <c r="J3676" t="s">
        <v>952</v>
      </c>
      <c r="K3676" t="s">
        <v>180</v>
      </c>
      <c r="L3676">
        <v>200079590</v>
      </c>
    </row>
    <row r="3677" spans="3:12">
      <c r="C3677">
        <v>2100300025</v>
      </c>
      <c r="D3677">
        <v>6426000</v>
      </c>
      <c r="E3677" t="s">
        <v>188</v>
      </c>
      <c r="F3677">
        <v>5210010105</v>
      </c>
      <c r="G3677" s="13">
        <v>17663</v>
      </c>
      <c r="I3677" t="s">
        <v>179</v>
      </c>
      <c r="J3677" t="s">
        <v>952</v>
      </c>
      <c r="K3677" t="s">
        <v>180</v>
      </c>
      <c r="L3677">
        <v>200082178</v>
      </c>
    </row>
    <row r="3678" spans="3:12">
      <c r="C3678">
        <v>2100300025</v>
      </c>
      <c r="D3678">
        <v>6426000</v>
      </c>
      <c r="E3678" t="s">
        <v>188</v>
      </c>
      <c r="F3678">
        <v>5210010105</v>
      </c>
      <c r="G3678" s="13">
        <v>59329.64</v>
      </c>
      <c r="I3678" t="s">
        <v>179</v>
      </c>
      <c r="J3678" t="s">
        <v>848</v>
      </c>
      <c r="K3678" t="s">
        <v>180</v>
      </c>
      <c r="L3678">
        <v>200085295</v>
      </c>
    </row>
    <row r="3679" spans="3:12">
      <c r="C3679">
        <v>2100300025</v>
      </c>
      <c r="D3679">
        <v>6426000</v>
      </c>
      <c r="E3679" t="s">
        <v>188</v>
      </c>
      <c r="F3679">
        <v>5210010105</v>
      </c>
      <c r="G3679" s="13">
        <v>702873</v>
      </c>
      <c r="I3679" t="s">
        <v>179</v>
      </c>
      <c r="J3679" t="s">
        <v>848</v>
      </c>
      <c r="K3679" t="s">
        <v>180</v>
      </c>
      <c r="L3679">
        <v>200087562</v>
      </c>
    </row>
    <row r="3680" spans="3:12">
      <c r="C3680">
        <v>2100300025</v>
      </c>
      <c r="D3680">
        <v>6426000</v>
      </c>
      <c r="E3680" t="s">
        <v>188</v>
      </c>
      <c r="F3680">
        <v>5210010105</v>
      </c>
      <c r="G3680" s="13">
        <v>25000</v>
      </c>
      <c r="I3680" t="s">
        <v>179</v>
      </c>
      <c r="J3680" t="s">
        <v>847</v>
      </c>
      <c r="K3680" t="s">
        <v>180</v>
      </c>
      <c r="L3680">
        <v>200074763</v>
      </c>
    </row>
    <row r="3681" spans="3:12">
      <c r="C3681">
        <v>2100300025</v>
      </c>
      <c r="D3681">
        <v>6426000</v>
      </c>
      <c r="E3681" t="s">
        <v>188</v>
      </c>
      <c r="F3681">
        <v>5210010105</v>
      </c>
      <c r="G3681" s="13">
        <v>1080</v>
      </c>
      <c r="I3681" t="s">
        <v>179</v>
      </c>
      <c r="J3681" t="s">
        <v>952</v>
      </c>
      <c r="K3681" t="s">
        <v>180</v>
      </c>
      <c r="L3681">
        <v>200082143</v>
      </c>
    </row>
    <row r="3682" spans="3:12">
      <c r="C3682">
        <v>2100300025</v>
      </c>
      <c r="D3682">
        <v>6426000</v>
      </c>
      <c r="E3682" t="s">
        <v>188</v>
      </c>
      <c r="F3682">
        <v>5210010105</v>
      </c>
      <c r="G3682" s="13">
        <v>1190</v>
      </c>
      <c r="I3682" t="s">
        <v>179</v>
      </c>
      <c r="J3682" t="s">
        <v>952</v>
      </c>
      <c r="K3682" t="s">
        <v>180</v>
      </c>
      <c r="L3682">
        <v>200081596</v>
      </c>
    </row>
    <row r="3683" spans="3:12">
      <c r="C3683">
        <v>2100300025</v>
      </c>
      <c r="D3683">
        <v>6426000</v>
      </c>
      <c r="E3683" t="s">
        <v>188</v>
      </c>
      <c r="F3683">
        <v>5210010105</v>
      </c>
      <c r="G3683" s="13">
        <v>3715</v>
      </c>
      <c r="I3683" t="s">
        <v>179</v>
      </c>
      <c r="J3683" t="s">
        <v>952</v>
      </c>
      <c r="K3683" t="s">
        <v>180</v>
      </c>
      <c r="L3683">
        <v>200082147</v>
      </c>
    </row>
    <row r="3684" spans="3:12">
      <c r="C3684">
        <v>2100300025</v>
      </c>
      <c r="D3684">
        <v>6426000</v>
      </c>
      <c r="E3684" t="s">
        <v>188</v>
      </c>
      <c r="F3684">
        <v>5210010105</v>
      </c>
      <c r="G3684">
        <v>850</v>
      </c>
      <c r="I3684" t="s">
        <v>179</v>
      </c>
      <c r="J3684" t="s">
        <v>952</v>
      </c>
      <c r="K3684" t="s">
        <v>180</v>
      </c>
      <c r="L3684">
        <v>200081597</v>
      </c>
    </row>
    <row r="3685" spans="3:12">
      <c r="C3685">
        <v>2100300025</v>
      </c>
      <c r="D3685">
        <v>6426000</v>
      </c>
      <c r="E3685" t="s">
        <v>188</v>
      </c>
      <c r="F3685">
        <v>5210010105</v>
      </c>
      <c r="G3685" s="13">
        <v>12687.53</v>
      </c>
      <c r="I3685" t="s">
        <v>179</v>
      </c>
      <c r="J3685" t="s">
        <v>952</v>
      </c>
      <c r="K3685" t="s">
        <v>180</v>
      </c>
      <c r="L3685">
        <v>200082150</v>
      </c>
    </row>
    <row r="3686" spans="3:12">
      <c r="C3686">
        <v>2100300025</v>
      </c>
      <c r="D3686">
        <v>6426000</v>
      </c>
      <c r="E3686" t="s">
        <v>188</v>
      </c>
      <c r="F3686">
        <v>5210010105</v>
      </c>
      <c r="G3686">
        <v>70</v>
      </c>
      <c r="I3686" t="s">
        <v>179</v>
      </c>
      <c r="J3686" t="s">
        <v>952</v>
      </c>
      <c r="K3686" t="s">
        <v>180</v>
      </c>
      <c r="L3686">
        <v>200082217</v>
      </c>
    </row>
    <row r="3687" spans="3:12">
      <c r="C3687">
        <v>2100300025</v>
      </c>
      <c r="D3687">
        <v>6426000</v>
      </c>
      <c r="E3687" t="s">
        <v>188</v>
      </c>
      <c r="F3687">
        <v>5210010105</v>
      </c>
      <c r="G3687">
        <v>520</v>
      </c>
      <c r="I3687" t="s">
        <v>179</v>
      </c>
      <c r="J3687" t="s">
        <v>953</v>
      </c>
      <c r="K3687" t="s">
        <v>180</v>
      </c>
      <c r="L3687">
        <v>200087080</v>
      </c>
    </row>
    <row r="3688" spans="3:12">
      <c r="C3688">
        <v>2100300025</v>
      </c>
      <c r="D3688">
        <v>6426000</v>
      </c>
      <c r="E3688" t="s">
        <v>188</v>
      </c>
      <c r="F3688">
        <v>5210010105</v>
      </c>
      <c r="G3688" s="13">
        <v>5642</v>
      </c>
      <c r="I3688" t="s">
        <v>179</v>
      </c>
      <c r="J3688" t="s">
        <v>953</v>
      </c>
      <c r="K3688" t="s">
        <v>180</v>
      </c>
      <c r="L3688">
        <v>200086554</v>
      </c>
    </row>
    <row r="3689" spans="3:12">
      <c r="C3689">
        <v>2100300025</v>
      </c>
      <c r="D3689">
        <v>6426000</v>
      </c>
      <c r="E3689" t="s">
        <v>188</v>
      </c>
      <c r="F3689">
        <v>5210010105</v>
      </c>
      <c r="G3689" s="13">
        <v>71760</v>
      </c>
      <c r="I3689" t="s">
        <v>179</v>
      </c>
      <c r="J3689" t="s">
        <v>954</v>
      </c>
      <c r="K3689" t="s">
        <v>180</v>
      </c>
      <c r="L3689">
        <v>200081296</v>
      </c>
    </row>
    <row r="3690" spans="3:12">
      <c r="C3690">
        <v>2100300025</v>
      </c>
      <c r="D3690">
        <v>6426000</v>
      </c>
      <c r="E3690" t="s">
        <v>188</v>
      </c>
      <c r="F3690">
        <v>5210010105</v>
      </c>
      <c r="G3690" s="13">
        <v>24610</v>
      </c>
      <c r="I3690" t="s">
        <v>179</v>
      </c>
      <c r="J3690" t="s">
        <v>955</v>
      </c>
      <c r="K3690" t="s">
        <v>180</v>
      </c>
      <c r="L3690">
        <v>200086271</v>
      </c>
    </row>
    <row r="3691" spans="3:12">
      <c r="C3691">
        <v>2100300025</v>
      </c>
      <c r="D3691">
        <v>6426000</v>
      </c>
      <c r="E3691" t="s">
        <v>188</v>
      </c>
      <c r="F3691">
        <v>5210010105</v>
      </c>
      <c r="G3691" s="13">
        <v>6000</v>
      </c>
      <c r="I3691" t="s">
        <v>179</v>
      </c>
      <c r="J3691" t="s">
        <v>955</v>
      </c>
      <c r="K3691" t="s">
        <v>180</v>
      </c>
      <c r="L3691">
        <v>200086281</v>
      </c>
    </row>
    <row r="3692" spans="3:12">
      <c r="C3692">
        <v>2100300025</v>
      </c>
      <c r="D3692">
        <v>6426000</v>
      </c>
      <c r="E3692" t="s">
        <v>188</v>
      </c>
      <c r="F3692">
        <v>5210010105</v>
      </c>
      <c r="G3692" s="13">
        <v>2514.5</v>
      </c>
      <c r="I3692" t="s">
        <v>179</v>
      </c>
      <c r="J3692" t="s">
        <v>948</v>
      </c>
      <c r="K3692" t="s">
        <v>180</v>
      </c>
      <c r="L3692">
        <v>200058019</v>
      </c>
    </row>
    <row r="3693" spans="3:12">
      <c r="C3693">
        <v>2100300025</v>
      </c>
      <c r="D3693">
        <v>6426000</v>
      </c>
      <c r="E3693" t="s">
        <v>188</v>
      </c>
      <c r="F3693">
        <v>5210010105</v>
      </c>
      <c r="G3693" s="13">
        <v>269832.59999999998</v>
      </c>
      <c r="I3693" t="s">
        <v>179</v>
      </c>
      <c r="J3693" t="s">
        <v>841</v>
      </c>
      <c r="K3693" t="s">
        <v>180</v>
      </c>
      <c r="L3693">
        <v>200073731</v>
      </c>
    </row>
    <row r="3694" spans="3:12">
      <c r="C3694">
        <v>2100300025</v>
      </c>
      <c r="D3694">
        <v>6426000</v>
      </c>
      <c r="E3694" t="s">
        <v>188</v>
      </c>
      <c r="F3694">
        <v>5210010105</v>
      </c>
      <c r="G3694" s="13">
        <v>14768</v>
      </c>
      <c r="I3694" t="s">
        <v>179</v>
      </c>
      <c r="J3694" t="s">
        <v>841</v>
      </c>
      <c r="K3694" t="s">
        <v>180</v>
      </c>
      <c r="L3694">
        <v>200074134</v>
      </c>
    </row>
    <row r="3695" spans="3:12">
      <c r="C3695">
        <v>2100300025</v>
      </c>
      <c r="D3695">
        <v>6426000</v>
      </c>
      <c r="E3695" t="s">
        <v>188</v>
      </c>
      <c r="F3695">
        <v>5210010105</v>
      </c>
      <c r="G3695" s="13">
        <v>20972</v>
      </c>
      <c r="I3695" t="s">
        <v>179</v>
      </c>
      <c r="J3695" t="s">
        <v>841</v>
      </c>
      <c r="K3695" t="s">
        <v>180</v>
      </c>
      <c r="L3695">
        <v>200074135</v>
      </c>
    </row>
    <row r="3696" spans="3:12">
      <c r="C3696">
        <v>2100300025</v>
      </c>
      <c r="D3696">
        <v>6426000</v>
      </c>
      <c r="E3696" t="s">
        <v>188</v>
      </c>
      <c r="F3696">
        <v>5210010105</v>
      </c>
      <c r="G3696" s="13">
        <v>34154.400000000001</v>
      </c>
      <c r="I3696" t="s">
        <v>179</v>
      </c>
      <c r="J3696" t="s">
        <v>841</v>
      </c>
      <c r="K3696" t="s">
        <v>180</v>
      </c>
      <c r="L3696">
        <v>200074136</v>
      </c>
    </row>
    <row r="3697" spans="3:12">
      <c r="C3697">
        <v>2100300025</v>
      </c>
      <c r="D3697">
        <v>6426000</v>
      </c>
      <c r="E3697" t="s">
        <v>188</v>
      </c>
      <c r="F3697">
        <v>5210010105</v>
      </c>
      <c r="G3697" s="13">
        <v>92444.79</v>
      </c>
      <c r="I3697" t="s">
        <v>179</v>
      </c>
      <c r="J3697" t="s">
        <v>841</v>
      </c>
      <c r="K3697" t="s">
        <v>180</v>
      </c>
      <c r="L3697">
        <v>200074097</v>
      </c>
    </row>
    <row r="3698" spans="3:12">
      <c r="C3698">
        <v>2100300025</v>
      </c>
      <c r="D3698">
        <v>6426000</v>
      </c>
      <c r="E3698" t="s">
        <v>188</v>
      </c>
      <c r="F3698">
        <v>5210010105</v>
      </c>
      <c r="G3698" s="13">
        <v>7511.4</v>
      </c>
      <c r="I3698" t="s">
        <v>179</v>
      </c>
      <c r="J3698" t="s">
        <v>841</v>
      </c>
      <c r="K3698" t="s">
        <v>180</v>
      </c>
      <c r="L3698">
        <v>200073366</v>
      </c>
    </row>
    <row r="3699" spans="3:12">
      <c r="C3699">
        <v>2100300025</v>
      </c>
      <c r="D3699">
        <v>6426000</v>
      </c>
      <c r="E3699" t="s">
        <v>188</v>
      </c>
      <c r="F3699">
        <v>5210010105</v>
      </c>
      <c r="G3699" s="13">
        <v>14445</v>
      </c>
      <c r="I3699" t="s">
        <v>179</v>
      </c>
      <c r="J3699" t="s">
        <v>841</v>
      </c>
      <c r="K3699" t="s">
        <v>180</v>
      </c>
      <c r="L3699">
        <v>200073367</v>
      </c>
    </row>
    <row r="3700" spans="3:12">
      <c r="C3700">
        <v>2100300025</v>
      </c>
      <c r="D3700">
        <v>6426000</v>
      </c>
      <c r="E3700" t="s">
        <v>188</v>
      </c>
      <c r="F3700">
        <v>5210010105</v>
      </c>
      <c r="G3700" s="13">
        <v>33812</v>
      </c>
      <c r="I3700" t="s">
        <v>179</v>
      </c>
      <c r="J3700" t="s">
        <v>841</v>
      </c>
      <c r="K3700" t="s">
        <v>180</v>
      </c>
      <c r="L3700">
        <v>200065149</v>
      </c>
    </row>
    <row r="3701" spans="3:12">
      <c r="C3701">
        <v>2100300025</v>
      </c>
      <c r="D3701">
        <v>6426000</v>
      </c>
      <c r="E3701" t="s">
        <v>188</v>
      </c>
      <c r="F3701">
        <v>5210010105</v>
      </c>
      <c r="G3701" s="13">
        <v>48150</v>
      </c>
      <c r="I3701" t="s">
        <v>179</v>
      </c>
      <c r="J3701" t="s">
        <v>841</v>
      </c>
      <c r="K3701" t="s">
        <v>180</v>
      </c>
      <c r="L3701">
        <v>200074138</v>
      </c>
    </row>
    <row r="3702" spans="3:12">
      <c r="C3702">
        <v>2100300025</v>
      </c>
      <c r="D3702">
        <v>6426000</v>
      </c>
      <c r="E3702" t="s">
        <v>188</v>
      </c>
      <c r="F3702">
        <v>5210010105</v>
      </c>
      <c r="G3702" s="13">
        <v>5600</v>
      </c>
      <c r="I3702" t="s">
        <v>179</v>
      </c>
      <c r="J3702" t="s">
        <v>841</v>
      </c>
      <c r="K3702" t="s">
        <v>180</v>
      </c>
      <c r="L3702">
        <v>200074099</v>
      </c>
    </row>
    <row r="3703" spans="3:12">
      <c r="C3703">
        <v>2100300025</v>
      </c>
      <c r="D3703">
        <v>6426000</v>
      </c>
      <c r="E3703" t="s">
        <v>188</v>
      </c>
      <c r="F3703">
        <v>5210010105</v>
      </c>
      <c r="G3703" s="13">
        <v>4650</v>
      </c>
      <c r="I3703" t="s">
        <v>179</v>
      </c>
      <c r="J3703" t="s">
        <v>841</v>
      </c>
      <c r="K3703" t="s">
        <v>180</v>
      </c>
      <c r="L3703">
        <v>200074100</v>
      </c>
    </row>
    <row r="3704" spans="3:12">
      <c r="C3704">
        <v>2100300025</v>
      </c>
      <c r="D3704">
        <v>6426000</v>
      </c>
      <c r="E3704" t="s">
        <v>188</v>
      </c>
      <c r="F3704">
        <v>5210010105</v>
      </c>
      <c r="G3704" s="13">
        <v>123200</v>
      </c>
      <c r="I3704" t="s">
        <v>179</v>
      </c>
      <c r="J3704" t="s">
        <v>943</v>
      </c>
      <c r="K3704" t="s">
        <v>180</v>
      </c>
      <c r="L3704">
        <v>200067869</v>
      </c>
    </row>
    <row r="3705" spans="3:12">
      <c r="C3705">
        <v>2100300025</v>
      </c>
      <c r="D3705">
        <v>6426000</v>
      </c>
      <c r="E3705" t="s">
        <v>188</v>
      </c>
      <c r="F3705">
        <v>5210010105</v>
      </c>
      <c r="G3705" s="13">
        <v>128000</v>
      </c>
      <c r="I3705" t="s">
        <v>179</v>
      </c>
      <c r="J3705" t="s">
        <v>943</v>
      </c>
      <c r="K3705" t="s">
        <v>180</v>
      </c>
      <c r="L3705">
        <v>200067870</v>
      </c>
    </row>
    <row r="3706" spans="3:12">
      <c r="C3706">
        <v>2100300025</v>
      </c>
      <c r="D3706">
        <v>6426000</v>
      </c>
      <c r="E3706" t="s">
        <v>188</v>
      </c>
      <c r="F3706">
        <v>5210010105</v>
      </c>
      <c r="G3706" s="13">
        <v>424000</v>
      </c>
      <c r="I3706" t="s">
        <v>179</v>
      </c>
      <c r="J3706" t="s">
        <v>943</v>
      </c>
      <c r="K3706" t="s">
        <v>180</v>
      </c>
      <c r="L3706">
        <v>200067871</v>
      </c>
    </row>
    <row r="3707" spans="3:12">
      <c r="C3707">
        <v>2100300025</v>
      </c>
      <c r="D3707">
        <v>6426000</v>
      </c>
      <c r="E3707" t="s">
        <v>188</v>
      </c>
      <c r="F3707">
        <v>5210010105</v>
      </c>
      <c r="G3707" s="13">
        <v>100000</v>
      </c>
      <c r="I3707" t="s">
        <v>179</v>
      </c>
      <c r="J3707" t="s">
        <v>943</v>
      </c>
      <c r="K3707" t="s">
        <v>180</v>
      </c>
      <c r="L3707">
        <v>200067872</v>
      </c>
    </row>
    <row r="3708" spans="3:12">
      <c r="C3708">
        <v>2100300025</v>
      </c>
      <c r="D3708">
        <v>6426000</v>
      </c>
      <c r="E3708" t="s">
        <v>188</v>
      </c>
      <c r="F3708">
        <v>5210010105</v>
      </c>
      <c r="G3708" s="13">
        <v>63250</v>
      </c>
      <c r="I3708" t="s">
        <v>179</v>
      </c>
      <c r="J3708" t="s">
        <v>943</v>
      </c>
      <c r="K3708" t="s">
        <v>180</v>
      </c>
      <c r="L3708">
        <v>200067873</v>
      </c>
    </row>
    <row r="3709" spans="3:12">
      <c r="C3709">
        <v>2100300025</v>
      </c>
      <c r="D3709">
        <v>6426000</v>
      </c>
      <c r="E3709" t="s">
        <v>188</v>
      </c>
      <c r="F3709">
        <v>5210010105</v>
      </c>
      <c r="G3709" s="13">
        <v>4665.6000000000004</v>
      </c>
      <c r="I3709" t="s">
        <v>179</v>
      </c>
      <c r="J3709" t="s">
        <v>843</v>
      </c>
      <c r="K3709" t="s">
        <v>180</v>
      </c>
      <c r="L3709">
        <v>200070898</v>
      </c>
    </row>
    <row r="3710" spans="3:12">
      <c r="C3710">
        <v>2100300025</v>
      </c>
      <c r="D3710">
        <v>6426000</v>
      </c>
      <c r="E3710" t="s">
        <v>188</v>
      </c>
      <c r="F3710">
        <v>5210010105</v>
      </c>
      <c r="G3710" s="13">
        <v>2200</v>
      </c>
      <c r="I3710" t="s">
        <v>179</v>
      </c>
      <c r="J3710" t="s">
        <v>949</v>
      </c>
      <c r="K3710" t="s">
        <v>180</v>
      </c>
      <c r="L3710">
        <v>200070892</v>
      </c>
    </row>
    <row r="3711" spans="3:12">
      <c r="C3711">
        <v>2100300025</v>
      </c>
      <c r="D3711">
        <v>6426000</v>
      </c>
      <c r="E3711" t="s">
        <v>188</v>
      </c>
      <c r="F3711">
        <v>5210010105</v>
      </c>
      <c r="G3711" s="13">
        <v>3800</v>
      </c>
      <c r="I3711" t="s">
        <v>179</v>
      </c>
      <c r="J3711" t="s">
        <v>949</v>
      </c>
      <c r="K3711" t="s">
        <v>180</v>
      </c>
      <c r="L3711">
        <v>200065361</v>
      </c>
    </row>
    <row r="3712" spans="3:12">
      <c r="C3712">
        <v>2100300025</v>
      </c>
      <c r="D3712">
        <v>6426000</v>
      </c>
      <c r="E3712" t="s">
        <v>188</v>
      </c>
      <c r="F3712">
        <v>5210010105</v>
      </c>
      <c r="G3712" s="13">
        <v>2800</v>
      </c>
      <c r="I3712" t="s">
        <v>179</v>
      </c>
      <c r="J3712" t="s">
        <v>949</v>
      </c>
      <c r="K3712" t="s">
        <v>180</v>
      </c>
      <c r="L3712">
        <v>200056996</v>
      </c>
    </row>
    <row r="3713" spans="3:12">
      <c r="C3713">
        <v>2100300025</v>
      </c>
      <c r="D3713">
        <v>6426000</v>
      </c>
      <c r="E3713" t="s">
        <v>188</v>
      </c>
      <c r="F3713">
        <v>5210010105</v>
      </c>
      <c r="G3713" s="13">
        <v>3500</v>
      </c>
      <c r="I3713" t="s">
        <v>179</v>
      </c>
      <c r="J3713" t="s">
        <v>949</v>
      </c>
      <c r="K3713" t="s">
        <v>180</v>
      </c>
      <c r="L3713">
        <v>200072927</v>
      </c>
    </row>
    <row r="3714" spans="3:12">
      <c r="C3714">
        <v>2100300025</v>
      </c>
      <c r="D3714">
        <v>6426000</v>
      </c>
      <c r="E3714" t="s">
        <v>188</v>
      </c>
      <c r="F3714">
        <v>5210010105</v>
      </c>
      <c r="G3714" s="13">
        <v>23836</v>
      </c>
      <c r="I3714" t="s">
        <v>179</v>
      </c>
      <c r="J3714" t="s">
        <v>949</v>
      </c>
      <c r="K3714" t="s">
        <v>180</v>
      </c>
      <c r="L3714">
        <v>200072899</v>
      </c>
    </row>
    <row r="3715" spans="3:12">
      <c r="C3715">
        <v>2100300025</v>
      </c>
      <c r="D3715">
        <v>6426000</v>
      </c>
      <c r="E3715" t="s">
        <v>188</v>
      </c>
      <c r="F3715">
        <v>5210010105</v>
      </c>
      <c r="G3715" s="13">
        <v>208650</v>
      </c>
      <c r="I3715" t="s">
        <v>179</v>
      </c>
      <c r="J3715" t="s">
        <v>949</v>
      </c>
      <c r="K3715" t="s">
        <v>180</v>
      </c>
      <c r="L3715">
        <v>200072900</v>
      </c>
    </row>
    <row r="3716" spans="3:12">
      <c r="C3716">
        <v>2100300025</v>
      </c>
      <c r="D3716">
        <v>6426000</v>
      </c>
      <c r="E3716" t="s">
        <v>188</v>
      </c>
      <c r="F3716">
        <v>5210010105</v>
      </c>
      <c r="G3716" s="13">
        <v>9510.6</v>
      </c>
      <c r="I3716" t="s">
        <v>179</v>
      </c>
      <c r="J3716" t="s">
        <v>949</v>
      </c>
      <c r="K3716" t="s">
        <v>180</v>
      </c>
      <c r="L3716">
        <v>200073201</v>
      </c>
    </row>
    <row r="3717" spans="3:12">
      <c r="C3717">
        <v>2100300025</v>
      </c>
      <c r="D3717">
        <v>6426000</v>
      </c>
      <c r="E3717" t="s">
        <v>188</v>
      </c>
      <c r="F3717">
        <v>5210010105</v>
      </c>
      <c r="G3717" s="13">
        <v>45261</v>
      </c>
      <c r="I3717" t="s">
        <v>179</v>
      </c>
      <c r="J3717" t="s">
        <v>949</v>
      </c>
      <c r="K3717" t="s">
        <v>180</v>
      </c>
      <c r="L3717">
        <v>200072764</v>
      </c>
    </row>
    <row r="3718" spans="3:12">
      <c r="C3718">
        <v>2100300025</v>
      </c>
      <c r="D3718">
        <v>6426000</v>
      </c>
      <c r="E3718" t="s">
        <v>188</v>
      </c>
      <c r="F3718">
        <v>5210010105</v>
      </c>
      <c r="G3718" s="13">
        <v>238180</v>
      </c>
      <c r="I3718" t="s">
        <v>179</v>
      </c>
      <c r="J3718" t="s">
        <v>949</v>
      </c>
      <c r="K3718" t="s">
        <v>180</v>
      </c>
      <c r="L3718">
        <v>200073202</v>
      </c>
    </row>
    <row r="3719" spans="3:12">
      <c r="C3719">
        <v>2100300025</v>
      </c>
      <c r="D3719">
        <v>6426000</v>
      </c>
      <c r="E3719" t="s">
        <v>188</v>
      </c>
      <c r="F3719">
        <v>5210010105</v>
      </c>
      <c r="G3719" s="13">
        <v>35000</v>
      </c>
      <c r="I3719" t="s">
        <v>179</v>
      </c>
      <c r="J3719" t="s">
        <v>949</v>
      </c>
      <c r="K3719" t="s">
        <v>180</v>
      </c>
      <c r="L3719">
        <v>200073203</v>
      </c>
    </row>
    <row r="3720" spans="3:12">
      <c r="C3720">
        <v>2100300025</v>
      </c>
      <c r="D3720">
        <v>6426000</v>
      </c>
      <c r="E3720" t="s">
        <v>188</v>
      </c>
      <c r="F3720">
        <v>5210010105</v>
      </c>
      <c r="G3720" s="13">
        <v>24000</v>
      </c>
      <c r="I3720" t="s">
        <v>179</v>
      </c>
      <c r="J3720" t="s">
        <v>949</v>
      </c>
      <c r="K3720" t="s">
        <v>180</v>
      </c>
      <c r="L3720">
        <v>200073204</v>
      </c>
    </row>
    <row r="3721" spans="3:12">
      <c r="C3721">
        <v>2100300025</v>
      </c>
      <c r="D3721">
        <v>6426000</v>
      </c>
      <c r="E3721" t="s">
        <v>188</v>
      </c>
      <c r="F3721">
        <v>5210010105</v>
      </c>
      <c r="G3721" s="13">
        <v>9070</v>
      </c>
      <c r="I3721" t="s">
        <v>179</v>
      </c>
      <c r="J3721" t="s">
        <v>949</v>
      </c>
      <c r="K3721" t="s">
        <v>180</v>
      </c>
      <c r="L3721">
        <v>200073205</v>
      </c>
    </row>
    <row r="3722" spans="3:12">
      <c r="C3722">
        <v>2100300025</v>
      </c>
      <c r="D3722">
        <v>6426000</v>
      </c>
      <c r="E3722" t="s">
        <v>188</v>
      </c>
      <c r="F3722">
        <v>5210010105</v>
      </c>
      <c r="G3722" s="13">
        <v>83000</v>
      </c>
      <c r="I3722" t="s">
        <v>179</v>
      </c>
      <c r="J3722" t="s">
        <v>949</v>
      </c>
      <c r="K3722" t="s">
        <v>180</v>
      </c>
      <c r="L3722">
        <v>200072765</v>
      </c>
    </row>
    <row r="3723" spans="3:12">
      <c r="C3723">
        <v>2100300025</v>
      </c>
      <c r="D3723">
        <v>6426000</v>
      </c>
      <c r="E3723" t="s">
        <v>188</v>
      </c>
      <c r="F3723">
        <v>5210010105</v>
      </c>
      <c r="G3723" s="13">
        <v>7779</v>
      </c>
      <c r="I3723" t="s">
        <v>179</v>
      </c>
      <c r="J3723" t="s">
        <v>949</v>
      </c>
      <c r="K3723" t="s">
        <v>180</v>
      </c>
      <c r="L3723">
        <v>200073206</v>
      </c>
    </row>
    <row r="3724" spans="3:12">
      <c r="C3724">
        <v>2100300025</v>
      </c>
      <c r="D3724">
        <v>6426000</v>
      </c>
      <c r="E3724" t="s">
        <v>188</v>
      </c>
      <c r="F3724">
        <v>5210010105</v>
      </c>
      <c r="G3724" s="13">
        <v>133250</v>
      </c>
      <c r="I3724" t="s">
        <v>179</v>
      </c>
      <c r="J3724" t="s">
        <v>949</v>
      </c>
      <c r="K3724" t="s">
        <v>180</v>
      </c>
      <c r="L3724">
        <v>200073207</v>
      </c>
    </row>
    <row r="3725" spans="3:12">
      <c r="C3725">
        <v>2100300025</v>
      </c>
      <c r="D3725">
        <v>6426000</v>
      </c>
      <c r="E3725" t="s">
        <v>188</v>
      </c>
      <c r="F3725">
        <v>5210010105</v>
      </c>
      <c r="G3725" s="13">
        <v>319930</v>
      </c>
      <c r="I3725" t="s">
        <v>179</v>
      </c>
      <c r="J3725" t="s">
        <v>561</v>
      </c>
      <c r="K3725" t="s">
        <v>180</v>
      </c>
      <c r="L3725">
        <v>200068948</v>
      </c>
    </row>
    <row r="3726" spans="3:12">
      <c r="C3726">
        <v>2100300025</v>
      </c>
      <c r="D3726">
        <v>6426000</v>
      </c>
      <c r="E3726" t="s">
        <v>188</v>
      </c>
      <c r="F3726">
        <v>5210010105</v>
      </c>
      <c r="G3726" s="13">
        <v>9202</v>
      </c>
      <c r="I3726" t="s">
        <v>179</v>
      </c>
      <c r="J3726" t="s">
        <v>561</v>
      </c>
      <c r="K3726" t="s">
        <v>180</v>
      </c>
      <c r="L3726">
        <v>200071453</v>
      </c>
    </row>
    <row r="3727" spans="3:12">
      <c r="C3727">
        <v>2100300025</v>
      </c>
      <c r="D3727">
        <v>6426000</v>
      </c>
      <c r="E3727" t="s">
        <v>188</v>
      </c>
      <c r="F3727">
        <v>5210010105</v>
      </c>
      <c r="G3727" s="13">
        <v>5080</v>
      </c>
      <c r="I3727" t="s">
        <v>179</v>
      </c>
      <c r="J3727" t="s">
        <v>561</v>
      </c>
      <c r="K3727" t="s">
        <v>180</v>
      </c>
      <c r="L3727">
        <v>200071516</v>
      </c>
    </row>
    <row r="3728" spans="3:12">
      <c r="C3728">
        <v>2100300025</v>
      </c>
      <c r="D3728">
        <v>6426000</v>
      </c>
      <c r="E3728" t="s">
        <v>188</v>
      </c>
      <c r="F3728">
        <v>5210010105</v>
      </c>
      <c r="G3728" s="13">
        <v>60000</v>
      </c>
      <c r="I3728" t="s">
        <v>179</v>
      </c>
      <c r="J3728" t="s">
        <v>561</v>
      </c>
      <c r="K3728" t="s">
        <v>180</v>
      </c>
      <c r="L3728">
        <v>200058638</v>
      </c>
    </row>
    <row r="3729" spans="3:12">
      <c r="C3729">
        <v>2100300025</v>
      </c>
      <c r="D3729">
        <v>6426000</v>
      </c>
      <c r="E3729" t="s">
        <v>188</v>
      </c>
      <c r="F3729">
        <v>5210010105</v>
      </c>
      <c r="G3729" s="13">
        <v>10200</v>
      </c>
      <c r="I3729" t="s">
        <v>179</v>
      </c>
      <c r="J3729" t="s">
        <v>561</v>
      </c>
      <c r="K3729" t="s">
        <v>180</v>
      </c>
      <c r="L3729">
        <v>200071517</v>
      </c>
    </row>
    <row r="3730" spans="3:12">
      <c r="C3730">
        <v>2100300025</v>
      </c>
      <c r="D3730">
        <v>6426000</v>
      </c>
      <c r="E3730" t="s">
        <v>188</v>
      </c>
      <c r="F3730">
        <v>5210010105</v>
      </c>
      <c r="G3730" s="13">
        <v>9500</v>
      </c>
      <c r="I3730" t="s">
        <v>179</v>
      </c>
      <c r="J3730" t="s">
        <v>561</v>
      </c>
      <c r="K3730" t="s">
        <v>180</v>
      </c>
      <c r="L3730">
        <v>200071455</v>
      </c>
    </row>
    <row r="3731" spans="3:12">
      <c r="C3731">
        <v>2100300025</v>
      </c>
      <c r="D3731">
        <v>6426000</v>
      </c>
      <c r="E3731" t="s">
        <v>188</v>
      </c>
      <c r="F3731">
        <v>5210010105</v>
      </c>
      <c r="G3731" s="13">
        <v>13300</v>
      </c>
      <c r="I3731" t="s">
        <v>179</v>
      </c>
      <c r="J3731" t="s">
        <v>561</v>
      </c>
      <c r="K3731" t="s">
        <v>180</v>
      </c>
      <c r="L3731">
        <v>200069281</v>
      </c>
    </row>
    <row r="3732" spans="3:12">
      <c r="C3732">
        <v>2100300025</v>
      </c>
      <c r="D3732">
        <v>6426000</v>
      </c>
      <c r="E3732" t="s">
        <v>188</v>
      </c>
      <c r="F3732">
        <v>5210010105</v>
      </c>
      <c r="G3732" s="13">
        <v>160000</v>
      </c>
      <c r="I3732" t="s">
        <v>179</v>
      </c>
      <c r="J3732" t="s">
        <v>561</v>
      </c>
      <c r="K3732" t="s">
        <v>180</v>
      </c>
      <c r="L3732">
        <v>200071456</v>
      </c>
    </row>
    <row r="3733" spans="3:12">
      <c r="C3733">
        <v>2100300025</v>
      </c>
      <c r="D3733">
        <v>6426000</v>
      </c>
      <c r="E3733" t="s">
        <v>188</v>
      </c>
      <c r="F3733">
        <v>5210010105</v>
      </c>
      <c r="G3733" s="13">
        <v>42000</v>
      </c>
      <c r="I3733" t="s">
        <v>179</v>
      </c>
      <c r="J3733" t="s">
        <v>561</v>
      </c>
      <c r="K3733" t="s">
        <v>180</v>
      </c>
      <c r="L3733">
        <v>200069282</v>
      </c>
    </row>
    <row r="3734" spans="3:12">
      <c r="C3734">
        <v>2100300025</v>
      </c>
      <c r="D3734">
        <v>6426000</v>
      </c>
      <c r="E3734" t="s">
        <v>188</v>
      </c>
      <c r="F3734">
        <v>5210010105</v>
      </c>
      <c r="G3734" s="13">
        <v>322500</v>
      </c>
      <c r="I3734" t="s">
        <v>179</v>
      </c>
      <c r="J3734" t="s">
        <v>844</v>
      </c>
      <c r="K3734" t="s">
        <v>180</v>
      </c>
      <c r="L3734">
        <v>200075046</v>
      </c>
    </row>
    <row r="3735" spans="3:12">
      <c r="C3735">
        <v>2100300025</v>
      </c>
      <c r="D3735">
        <v>6426000</v>
      </c>
      <c r="E3735" t="s">
        <v>188</v>
      </c>
      <c r="F3735">
        <v>5210010105</v>
      </c>
      <c r="G3735" s="13">
        <v>23389.5</v>
      </c>
      <c r="I3735" t="s">
        <v>179</v>
      </c>
      <c r="J3735" t="s">
        <v>844</v>
      </c>
      <c r="K3735" t="s">
        <v>180</v>
      </c>
      <c r="L3735">
        <v>200074842</v>
      </c>
    </row>
    <row r="3736" spans="3:12">
      <c r="C3736">
        <v>2100300025</v>
      </c>
      <c r="D3736">
        <v>6426000</v>
      </c>
      <c r="E3736" t="s">
        <v>188</v>
      </c>
      <c r="F3736">
        <v>5210010105</v>
      </c>
      <c r="G3736" s="13">
        <v>98580</v>
      </c>
      <c r="I3736" t="s">
        <v>179</v>
      </c>
      <c r="J3736" t="s">
        <v>844</v>
      </c>
      <c r="K3736" t="s">
        <v>180</v>
      </c>
      <c r="L3736">
        <v>200075434</v>
      </c>
    </row>
    <row r="3737" spans="3:12">
      <c r="C3737">
        <v>2100300025</v>
      </c>
      <c r="D3737">
        <v>6426000</v>
      </c>
      <c r="E3737" t="s">
        <v>188</v>
      </c>
      <c r="F3737">
        <v>5210010105</v>
      </c>
      <c r="G3737" s="13">
        <v>27360</v>
      </c>
      <c r="I3737" t="s">
        <v>179</v>
      </c>
      <c r="J3737" t="s">
        <v>844</v>
      </c>
      <c r="K3737" t="s">
        <v>180</v>
      </c>
      <c r="L3737">
        <v>200073772</v>
      </c>
    </row>
    <row r="3738" spans="3:12">
      <c r="C3738">
        <v>2100300025</v>
      </c>
      <c r="D3738">
        <v>6426000</v>
      </c>
      <c r="E3738" t="s">
        <v>188</v>
      </c>
      <c r="F3738">
        <v>5210010105</v>
      </c>
      <c r="G3738" s="13">
        <v>21000</v>
      </c>
      <c r="I3738" t="s">
        <v>179</v>
      </c>
      <c r="J3738" t="s">
        <v>844</v>
      </c>
      <c r="K3738" t="s">
        <v>180</v>
      </c>
      <c r="L3738">
        <v>200074843</v>
      </c>
    </row>
    <row r="3739" spans="3:12">
      <c r="C3739">
        <v>2100300025</v>
      </c>
      <c r="D3739">
        <v>6426000</v>
      </c>
      <c r="E3739" t="s">
        <v>188</v>
      </c>
      <c r="F3739">
        <v>5210010105</v>
      </c>
      <c r="G3739" s="13">
        <v>1926</v>
      </c>
      <c r="I3739" t="s">
        <v>179</v>
      </c>
      <c r="J3739" t="s">
        <v>559</v>
      </c>
      <c r="K3739" t="s">
        <v>180</v>
      </c>
      <c r="L3739">
        <v>200083926</v>
      </c>
    </row>
    <row r="3740" spans="3:12">
      <c r="C3740">
        <v>2100300025</v>
      </c>
      <c r="D3740">
        <v>6426000</v>
      </c>
      <c r="E3740" t="s">
        <v>188</v>
      </c>
      <c r="F3740">
        <v>5210010105</v>
      </c>
      <c r="G3740" s="13">
        <v>5200</v>
      </c>
      <c r="I3740" t="s">
        <v>179</v>
      </c>
      <c r="J3740" t="s">
        <v>559</v>
      </c>
      <c r="K3740" t="s">
        <v>180</v>
      </c>
      <c r="L3740">
        <v>200058650</v>
      </c>
    </row>
    <row r="3741" spans="3:12">
      <c r="C3741">
        <v>2100300025</v>
      </c>
      <c r="D3741">
        <v>6426000</v>
      </c>
      <c r="E3741" t="s">
        <v>188</v>
      </c>
      <c r="F3741">
        <v>5210010105</v>
      </c>
      <c r="G3741" s="13">
        <v>40660</v>
      </c>
      <c r="I3741" t="s">
        <v>179</v>
      </c>
      <c r="J3741" t="s">
        <v>559</v>
      </c>
      <c r="K3741" t="s">
        <v>180</v>
      </c>
      <c r="L3741">
        <v>200083499</v>
      </c>
    </row>
    <row r="3742" spans="3:12">
      <c r="C3742">
        <v>2100300025</v>
      </c>
      <c r="D3742">
        <v>6426000</v>
      </c>
      <c r="E3742" t="s">
        <v>188</v>
      </c>
      <c r="F3742">
        <v>5210010105</v>
      </c>
      <c r="G3742" s="13">
        <v>2140</v>
      </c>
      <c r="I3742" t="s">
        <v>179</v>
      </c>
      <c r="J3742" t="s">
        <v>559</v>
      </c>
      <c r="K3742" t="s">
        <v>180</v>
      </c>
      <c r="L3742">
        <v>200083500</v>
      </c>
    </row>
    <row r="3743" spans="3:12">
      <c r="C3743">
        <v>2100300025</v>
      </c>
      <c r="D3743">
        <v>6426000</v>
      </c>
      <c r="E3743" t="s">
        <v>188</v>
      </c>
      <c r="F3743">
        <v>5210010105</v>
      </c>
      <c r="G3743" s="13">
        <v>5313.23</v>
      </c>
      <c r="I3743" t="s">
        <v>179</v>
      </c>
      <c r="J3743" t="s">
        <v>559</v>
      </c>
      <c r="K3743" t="s">
        <v>180</v>
      </c>
      <c r="L3743">
        <v>200084701</v>
      </c>
    </row>
    <row r="3744" spans="3:12">
      <c r="C3744">
        <v>2100300025</v>
      </c>
      <c r="D3744">
        <v>6426000</v>
      </c>
      <c r="E3744" t="s">
        <v>188</v>
      </c>
      <c r="F3744">
        <v>5210010105</v>
      </c>
      <c r="G3744" s="13">
        <v>54862.11</v>
      </c>
      <c r="I3744" t="s">
        <v>179</v>
      </c>
      <c r="J3744" t="s">
        <v>559</v>
      </c>
      <c r="K3744" t="s">
        <v>180</v>
      </c>
      <c r="L3744">
        <v>200084702</v>
      </c>
    </row>
    <row r="3745" spans="3:12">
      <c r="C3745">
        <v>2100300025</v>
      </c>
      <c r="D3745">
        <v>6426000</v>
      </c>
      <c r="E3745" t="s">
        <v>188</v>
      </c>
      <c r="F3745">
        <v>5210010105</v>
      </c>
      <c r="G3745" s="13">
        <v>21389.3</v>
      </c>
      <c r="I3745" t="s">
        <v>179</v>
      </c>
      <c r="J3745" t="s">
        <v>559</v>
      </c>
      <c r="K3745" t="s">
        <v>180</v>
      </c>
      <c r="L3745">
        <v>200084703</v>
      </c>
    </row>
    <row r="3746" spans="3:12">
      <c r="C3746">
        <v>2100300025</v>
      </c>
      <c r="D3746">
        <v>6426000</v>
      </c>
      <c r="E3746" t="s">
        <v>188</v>
      </c>
      <c r="F3746">
        <v>5210010105</v>
      </c>
      <c r="G3746" s="13">
        <v>14766</v>
      </c>
      <c r="I3746" t="s">
        <v>179</v>
      </c>
      <c r="J3746" t="s">
        <v>559</v>
      </c>
      <c r="K3746" t="s">
        <v>180</v>
      </c>
      <c r="L3746">
        <v>200081877</v>
      </c>
    </row>
    <row r="3747" spans="3:12">
      <c r="C3747">
        <v>2100300025</v>
      </c>
      <c r="D3747">
        <v>6426000</v>
      </c>
      <c r="E3747" t="s">
        <v>188</v>
      </c>
      <c r="F3747">
        <v>5210010105</v>
      </c>
      <c r="G3747" s="13">
        <v>19850</v>
      </c>
      <c r="I3747" t="s">
        <v>179</v>
      </c>
      <c r="J3747" t="s">
        <v>559</v>
      </c>
      <c r="K3747" t="s">
        <v>180</v>
      </c>
      <c r="L3747">
        <v>200058923</v>
      </c>
    </row>
    <row r="3748" spans="3:12">
      <c r="C3748">
        <v>2100300025</v>
      </c>
      <c r="D3748">
        <v>6426000</v>
      </c>
      <c r="E3748" t="s">
        <v>188</v>
      </c>
      <c r="F3748">
        <v>5210010105</v>
      </c>
      <c r="G3748" s="13">
        <v>18065</v>
      </c>
      <c r="I3748" t="s">
        <v>179</v>
      </c>
      <c r="J3748" t="s">
        <v>948</v>
      </c>
      <c r="K3748" t="s">
        <v>180</v>
      </c>
      <c r="L3748">
        <v>200078236</v>
      </c>
    </row>
    <row r="3749" spans="3:12">
      <c r="C3749">
        <v>2100300025</v>
      </c>
      <c r="D3749">
        <v>6426000</v>
      </c>
      <c r="E3749" t="s">
        <v>188</v>
      </c>
      <c r="F3749">
        <v>5210010105</v>
      </c>
      <c r="G3749" s="13">
        <v>98000</v>
      </c>
      <c r="I3749" t="s">
        <v>179</v>
      </c>
      <c r="J3749" t="s">
        <v>948</v>
      </c>
      <c r="K3749" t="s">
        <v>180</v>
      </c>
      <c r="L3749">
        <v>200078122</v>
      </c>
    </row>
    <row r="3750" spans="3:12">
      <c r="C3750">
        <v>2100300025</v>
      </c>
      <c r="D3750">
        <v>6426000</v>
      </c>
      <c r="E3750" t="s">
        <v>188</v>
      </c>
      <c r="F3750">
        <v>5210010105</v>
      </c>
      <c r="G3750" s="13">
        <v>31000</v>
      </c>
      <c r="I3750" t="s">
        <v>179</v>
      </c>
      <c r="J3750" t="s">
        <v>948</v>
      </c>
      <c r="K3750" t="s">
        <v>180</v>
      </c>
      <c r="L3750">
        <v>200078203</v>
      </c>
    </row>
    <row r="3751" spans="3:12">
      <c r="C3751">
        <v>2100300025</v>
      </c>
      <c r="D3751">
        <v>6426000</v>
      </c>
      <c r="E3751" t="s">
        <v>188</v>
      </c>
      <c r="F3751">
        <v>5210010105</v>
      </c>
      <c r="G3751" s="13">
        <v>7704</v>
      </c>
      <c r="I3751" t="s">
        <v>179</v>
      </c>
      <c r="J3751" t="s">
        <v>948</v>
      </c>
      <c r="K3751" t="s">
        <v>180</v>
      </c>
      <c r="L3751">
        <v>200077112</v>
      </c>
    </row>
    <row r="3752" spans="3:12">
      <c r="C3752">
        <v>2100300025</v>
      </c>
      <c r="D3752">
        <v>6426000</v>
      </c>
      <c r="E3752" t="s">
        <v>188</v>
      </c>
      <c r="F3752">
        <v>5210010105</v>
      </c>
      <c r="G3752" s="13">
        <v>19848.5</v>
      </c>
      <c r="I3752" t="s">
        <v>179</v>
      </c>
      <c r="J3752" t="s">
        <v>948</v>
      </c>
      <c r="K3752" t="s">
        <v>180</v>
      </c>
      <c r="L3752">
        <v>200077113</v>
      </c>
    </row>
    <row r="3753" spans="3:12">
      <c r="C3753">
        <v>2100300025</v>
      </c>
      <c r="D3753">
        <v>6426000</v>
      </c>
      <c r="E3753" t="s">
        <v>188</v>
      </c>
      <c r="F3753">
        <v>5210010105</v>
      </c>
      <c r="G3753" s="13">
        <v>6300</v>
      </c>
      <c r="I3753" t="s">
        <v>179</v>
      </c>
      <c r="J3753" t="s">
        <v>948</v>
      </c>
      <c r="K3753" t="s">
        <v>180</v>
      </c>
      <c r="L3753">
        <v>200078208</v>
      </c>
    </row>
    <row r="3754" spans="3:12">
      <c r="C3754">
        <v>2100300025</v>
      </c>
      <c r="D3754">
        <v>6426000</v>
      </c>
      <c r="E3754" t="s">
        <v>188</v>
      </c>
      <c r="F3754">
        <v>5210010105</v>
      </c>
      <c r="G3754" s="13">
        <v>9148.5</v>
      </c>
      <c r="I3754" t="s">
        <v>179</v>
      </c>
      <c r="J3754" t="s">
        <v>948</v>
      </c>
      <c r="K3754" t="s">
        <v>180</v>
      </c>
      <c r="L3754">
        <v>200078125</v>
      </c>
    </row>
    <row r="3755" spans="3:12">
      <c r="C3755">
        <v>2100300025</v>
      </c>
      <c r="D3755">
        <v>6426000</v>
      </c>
      <c r="E3755" t="s">
        <v>188</v>
      </c>
      <c r="F3755">
        <v>5210010105</v>
      </c>
      <c r="G3755" s="13">
        <v>33800</v>
      </c>
      <c r="I3755" t="s">
        <v>179</v>
      </c>
      <c r="J3755" t="s">
        <v>948</v>
      </c>
      <c r="K3755" t="s">
        <v>180</v>
      </c>
      <c r="L3755">
        <v>200077115</v>
      </c>
    </row>
    <row r="3756" spans="3:12">
      <c r="C3756">
        <v>2100300025</v>
      </c>
      <c r="D3756">
        <v>6426000</v>
      </c>
      <c r="E3756" t="s">
        <v>188</v>
      </c>
      <c r="F3756">
        <v>5210010105</v>
      </c>
      <c r="G3756" s="13">
        <v>70000</v>
      </c>
      <c r="I3756" t="s">
        <v>179</v>
      </c>
      <c r="J3756" t="s">
        <v>948</v>
      </c>
      <c r="K3756" t="s">
        <v>180</v>
      </c>
      <c r="L3756">
        <v>200076973</v>
      </c>
    </row>
    <row r="3757" spans="3:12">
      <c r="C3757">
        <v>2100300025</v>
      </c>
      <c r="D3757">
        <v>6426000</v>
      </c>
      <c r="E3757" t="s">
        <v>188</v>
      </c>
      <c r="F3757">
        <v>5210010105</v>
      </c>
      <c r="G3757" s="13">
        <v>495475</v>
      </c>
      <c r="I3757" t="s">
        <v>179</v>
      </c>
      <c r="J3757" t="s">
        <v>948</v>
      </c>
      <c r="K3757" t="s">
        <v>180</v>
      </c>
      <c r="L3757">
        <v>200074912</v>
      </c>
    </row>
    <row r="3758" spans="3:12">
      <c r="C3758">
        <v>2100300025</v>
      </c>
      <c r="D3758">
        <v>6426000</v>
      </c>
      <c r="E3758" t="s">
        <v>188</v>
      </c>
      <c r="F3758">
        <v>5210010105</v>
      </c>
      <c r="G3758" s="13">
        <v>340000</v>
      </c>
      <c r="I3758" t="s">
        <v>179</v>
      </c>
      <c r="J3758" t="s">
        <v>948</v>
      </c>
      <c r="K3758" t="s">
        <v>180</v>
      </c>
      <c r="L3758">
        <v>200074728</v>
      </c>
    </row>
    <row r="3759" spans="3:12">
      <c r="C3759">
        <v>2100300025</v>
      </c>
      <c r="D3759">
        <v>6426000</v>
      </c>
      <c r="E3759" t="s">
        <v>188</v>
      </c>
      <c r="F3759">
        <v>5210010105</v>
      </c>
      <c r="G3759" s="13">
        <v>215000</v>
      </c>
      <c r="I3759" t="s">
        <v>179</v>
      </c>
      <c r="J3759" t="s">
        <v>948</v>
      </c>
      <c r="K3759" t="s">
        <v>180</v>
      </c>
      <c r="L3759">
        <v>200068984</v>
      </c>
    </row>
    <row r="3760" spans="3:12">
      <c r="C3760">
        <v>2100300025</v>
      </c>
      <c r="D3760">
        <v>6426000</v>
      </c>
      <c r="E3760" t="s">
        <v>188</v>
      </c>
      <c r="F3760">
        <v>5210010105</v>
      </c>
      <c r="G3760" s="13">
        <v>2487.75</v>
      </c>
      <c r="I3760" t="s">
        <v>179</v>
      </c>
      <c r="J3760" t="s">
        <v>948</v>
      </c>
      <c r="K3760" t="s">
        <v>180</v>
      </c>
      <c r="L3760">
        <v>200074914</v>
      </c>
    </row>
    <row r="3761" spans="3:12">
      <c r="C3761">
        <v>2100300025</v>
      </c>
      <c r="D3761">
        <v>6426000</v>
      </c>
      <c r="E3761" t="s">
        <v>188</v>
      </c>
      <c r="F3761">
        <v>5210010105</v>
      </c>
      <c r="G3761" s="13">
        <v>3640</v>
      </c>
      <c r="I3761" t="s">
        <v>179</v>
      </c>
      <c r="J3761" t="s">
        <v>948</v>
      </c>
      <c r="K3761" t="s">
        <v>180</v>
      </c>
      <c r="L3761">
        <v>200058641</v>
      </c>
    </row>
    <row r="3762" spans="3:12">
      <c r="C3762">
        <v>2100300025</v>
      </c>
      <c r="D3762">
        <v>6426000</v>
      </c>
      <c r="E3762" t="s">
        <v>188</v>
      </c>
      <c r="F3762">
        <v>5210010105</v>
      </c>
      <c r="G3762" s="13">
        <v>804465.97</v>
      </c>
      <c r="I3762" t="s">
        <v>179</v>
      </c>
      <c r="J3762" t="s">
        <v>950</v>
      </c>
      <c r="K3762" t="s">
        <v>180</v>
      </c>
      <c r="L3762">
        <v>200079195</v>
      </c>
    </row>
    <row r="3763" spans="3:12">
      <c r="C3763">
        <v>2100300025</v>
      </c>
      <c r="D3763">
        <v>6426000</v>
      </c>
      <c r="E3763" t="s">
        <v>188</v>
      </c>
      <c r="F3763">
        <v>5210010105</v>
      </c>
      <c r="G3763" s="13">
        <v>6575</v>
      </c>
      <c r="I3763" t="s">
        <v>179</v>
      </c>
      <c r="J3763" t="s">
        <v>950</v>
      </c>
      <c r="K3763" t="s">
        <v>180</v>
      </c>
      <c r="L3763">
        <v>200078572</v>
      </c>
    </row>
    <row r="3764" spans="3:12">
      <c r="C3764">
        <v>2100300025</v>
      </c>
      <c r="D3764">
        <v>6426000</v>
      </c>
      <c r="E3764" t="s">
        <v>188</v>
      </c>
      <c r="F3764">
        <v>5210010105</v>
      </c>
      <c r="G3764" s="13">
        <v>8506.5</v>
      </c>
      <c r="I3764" t="s">
        <v>179</v>
      </c>
      <c r="J3764" t="s">
        <v>951</v>
      </c>
      <c r="K3764" t="s">
        <v>180</v>
      </c>
      <c r="L3764">
        <v>200083635</v>
      </c>
    </row>
    <row r="3765" spans="3:12">
      <c r="C3765">
        <v>2100300025</v>
      </c>
      <c r="D3765">
        <v>6426000</v>
      </c>
      <c r="E3765" t="s">
        <v>188</v>
      </c>
      <c r="F3765">
        <v>5210010105</v>
      </c>
      <c r="G3765" s="13">
        <v>6150</v>
      </c>
      <c r="I3765" t="s">
        <v>179</v>
      </c>
      <c r="J3765" t="s">
        <v>846</v>
      </c>
      <c r="K3765" t="s">
        <v>180</v>
      </c>
      <c r="L3765">
        <v>200088518</v>
      </c>
    </row>
    <row r="3766" spans="3:12">
      <c r="C3766">
        <v>2100300025</v>
      </c>
      <c r="D3766">
        <v>6426000</v>
      </c>
      <c r="E3766" t="s">
        <v>188</v>
      </c>
      <c r="F3766">
        <v>5210010105</v>
      </c>
      <c r="G3766" s="13">
        <v>31500</v>
      </c>
      <c r="I3766" t="s">
        <v>179</v>
      </c>
      <c r="J3766" t="s">
        <v>846</v>
      </c>
      <c r="K3766" t="s">
        <v>180</v>
      </c>
      <c r="L3766">
        <v>200088519</v>
      </c>
    </row>
    <row r="3767" spans="3:12">
      <c r="C3767">
        <v>2100300025</v>
      </c>
      <c r="D3767">
        <v>6426000</v>
      </c>
      <c r="E3767" t="s">
        <v>188</v>
      </c>
      <c r="F3767">
        <v>5210010105</v>
      </c>
      <c r="G3767" s="13">
        <v>8100</v>
      </c>
      <c r="I3767" t="s">
        <v>179</v>
      </c>
      <c r="J3767" t="s">
        <v>846</v>
      </c>
      <c r="K3767" t="s">
        <v>180</v>
      </c>
      <c r="L3767">
        <v>200088520</v>
      </c>
    </row>
    <row r="3768" spans="3:12">
      <c r="C3768">
        <v>2100300025</v>
      </c>
      <c r="D3768">
        <v>6426000</v>
      </c>
      <c r="E3768" t="s">
        <v>188</v>
      </c>
      <c r="F3768">
        <v>5210010105</v>
      </c>
      <c r="G3768" s="13">
        <v>90000</v>
      </c>
      <c r="I3768" t="s">
        <v>179</v>
      </c>
      <c r="J3768" t="s">
        <v>848</v>
      </c>
      <c r="K3768" t="s">
        <v>180</v>
      </c>
      <c r="L3768">
        <v>200088103</v>
      </c>
    </row>
    <row r="3769" spans="3:12">
      <c r="C3769">
        <v>2100300025</v>
      </c>
      <c r="D3769">
        <v>6426000</v>
      </c>
      <c r="E3769" t="s">
        <v>188</v>
      </c>
      <c r="F3769">
        <v>5210010105</v>
      </c>
      <c r="G3769" s="13">
        <v>56000</v>
      </c>
      <c r="I3769" t="s">
        <v>179</v>
      </c>
      <c r="J3769" t="s">
        <v>848</v>
      </c>
      <c r="K3769" t="s">
        <v>180</v>
      </c>
      <c r="L3769">
        <v>200087628</v>
      </c>
    </row>
    <row r="3770" spans="3:12">
      <c r="C3770">
        <v>2100300025</v>
      </c>
      <c r="D3770">
        <v>6426000</v>
      </c>
      <c r="E3770" t="s">
        <v>188</v>
      </c>
      <c r="F3770">
        <v>5210010105</v>
      </c>
      <c r="G3770" s="13">
        <v>12000</v>
      </c>
      <c r="I3770" t="s">
        <v>179</v>
      </c>
      <c r="J3770" t="s">
        <v>848</v>
      </c>
      <c r="K3770" t="s">
        <v>180</v>
      </c>
      <c r="L3770">
        <v>200087629</v>
      </c>
    </row>
    <row r="3771" spans="3:12">
      <c r="C3771">
        <v>2100300025</v>
      </c>
      <c r="D3771">
        <v>6426000</v>
      </c>
      <c r="E3771" t="s">
        <v>188</v>
      </c>
      <c r="F3771">
        <v>5210010105</v>
      </c>
      <c r="G3771" s="13">
        <v>6000</v>
      </c>
      <c r="I3771" t="s">
        <v>179</v>
      </c>
      <c r="J3771" t="s">
        <v>848</v>
      </c>
      <c r="K3771" t="s">
        <v>180</v>
      </c>
      <c r="L3771">
        <v>200087577</v>
      </c>
    </row>
    <row r="3772" spans="3:12">
      <c r="C3772">
        <v>2100300025</v>
      </c>
      <c r="D3772">
        <v>6426000</v>
      </c>
      <c r="E3772" t="s">
        <v>188</v>
      </c>
      <c r="F3772">
        <v>5210010105</v>
      </c>
      <c r="G3772" s="13">
        <v>4750</v>
      </c>
      <c r="I3772" t="s">
        <v>179</v>
      </c>
      <c r="J3772" t="s">
        <v>848</v>
      </c>
      <c r="K3772" t="s">
        <v>180</v>
      </c>
      <c r="L3772">
        <v>200087590</v>
      </c>
    </row>
    <row r="3773" spans="3:12">
      <c r="C3773">
        <v>2100300025</v>
      </c>
      <c r="D3773">
        <v>6426000</v>
      </c>
      <c r="E3773" t="s">
        <v>188</v>
      </c>
      <c r="F3773">
        <v>5210010105</v>
      </c>
      <c r="G3773" s="13">
        <v>282480</v>
      </c>
      <c r="I3773" t="s">
        <v>179</v>
      </c>
      <c r="J3773" t="s">
        <v>848</v>
      </c>
      <c r="K3773" t="s">
        <v>180</v>
      </c>
      <c r="L3773">
        <v>200087632</v>
      </c>
    </row>
    <row r="3774" spans="3:12">
      <c r="C3774">
        <v>2100300025</v>
      </c>
      <c r="D3774">
        <v>6426000</v>
      </c>
      <c r="E3774" t="s">
        <v>188</v>
      </c>
      <c r="F3774">
        <v>5210010105</v>
      </c>
      <c r="G3774" s="13">
        <v>527980.80000000005</v>
      </c>
      <c r="I3774" t="s">
        <v>179</v>
      </c>
      <c r="J3774" t="s">
        <v>848</v>
      </c>
      <c r="K3774" t="s">
        <v>180</v>
      </c>
      <c r="L3774">
        <v>200087596</v>
      </c>
    </row>
    <row r="3775" spans="3:12">
      <c r="C3775">
        <v>2100300025</v>
      </c>
      <c r="D3775">
        <v>6426000</v>
      </c>
      <c r="E3775" t="s">
        <v>188</v>
      </c>
      <c r="F3775">
        <v>5210010105</v>
      </c>
      <c r="G3775" s="13">
        <v>13200</v>
      </c>
      <c r="I3775" t="s">
        <v>179</v>
      </c>
      <c r="J3775" t="s">
        <v>952</v>
      </c>
      <c r="K3775" t="s">
        <v>180</v>
      </c>
      <c r="L3775">
        <v>200082459</v>
      </c>
    </row>
    <row r="3776" spans="3:12">
      <c r="C3776">
        <v>2100300025</v>
      </c>
      <c r="D3776">
        <v>6426000</v>
      </c>
      <c r="E3776" t="s">
        <v>188</v>
      </c>
      <c r="F3776">
        <v>5210010105</v>
      </c>
      <c r="G3776" s="13">
        <v>75000</v>
      </c>
      <c r="I3776" t="s">
        <v>179</v>
      </c>
      <c r="J3776" t="s">
        <v>848</v>
      </c>
      <c r="K3776" t="s">
        <v>180</v>
      </c>
      <c r="L3776">
        <v>200087563</v>
      </c>
    </row>
    <row r="3777" spans="3:12">
      <c r="C3777">
        <v>2100300025</v>
      </c>
      <c r="D3777">
        <v>6426000</v>
      </c>
      <c r="E3777" t="s">
        <v>188</v>
      </c>
      <c r="F3777">
        <v>5210010105</v>
      </c>
      <c r="G3777" s="13">
        <v>10910</v>
      </c>
      <c r="I3777" t="s">
        <v>179</v>
      </c>
      <c r="J3777" t="s">
        <v>848</v>
      </c>
      <c r="K3777" t="s">
        <v>180</v>
      </c>
      <c r="L3777">
        <v>200087566</v>
      </c>
    </row>
    <row r="3778" spans="3:12">
      <c r="C3778">
        <v>2100300025</v>
      </c>
      <c r="D3778">
        <v>6426000</v>
      </c>
      <c r="E3778" t="s">
        <v>188</v>
      </c>
      <c r="F3778">
        <v>5210010105</v>
      </c>
      <c r="G3778" s="13">
        <v>77040</v>
      </c>
      <c r="I3778" t="s">
        <v>179</v>
      </c>
      <c r="J3778" t="s">
        <v>848</v>
      </c>
      <c r="K3778" t="s">
        <v>180</v>
      </c>
      <c r="L3778">
        <v>200073992</v>
      </c>
    </row>
    <row r="3779" spans="3:12">
      <c r="C3779">
        <v>2100300025</v>
      </c>
      <c r="D3779">
        <v>6426000</v>
      </c>
      <c r="E3779" t="s">
        <v>188</v>
      </c>
      <c r="F3779">
        <v>5210010105</v>
      </c>
      <c r="G3779" s="13">
        <v>51360</v>
      </c>
      <c r="I3779" t="s">
        <v>179</v>
      </c>
      <c r="J3779" t="s">
        <v>848</v>
      </c>
      <c r="K3779" t="s">
        <v>180</v>
      </c>
      <c r="L3779">
        <v>200085298</v>
      </c>
    </row>
    <row r="3780" spans="3:12">
      <c r="C3780">
        <v>2100300025</v>
      </c>
      <c r="D3780">
        <v>6426000</v>
      </c>
      <c r="E3780" t="s">
        <v>188</v>
      </c>
      <c r="F3780">
        <v>5210010105</v>
      </c>
      <c r="G3780" s="13">
        <v>46366</v>
      </c>
      <c r="I3780" t="s">
        <v>179</v>
      </c>
      <c r="J3780" t="s">
        <v>848</v>
      </c>
      <c r="K3780" t="s">
        <v>180</v>
      </c>
      <c r="L3780">
        <v>200087573</v>
      </c>
    </row>
    <row r="3781" spans="3:12">
      <c r="C3781">
        <v>2100300025</v>
      </c>
      <c r="D3781">
        <v>6426000</v>
      </c>
      <c r="E3781" t="s">
        <v>188</v>
      </c>
      <c r="F3781">
        <v>5210010105</v>
      </c>
      <c r="G3781" s="13">
        <v>8119</v>
      </c>
      <c r="I3781" t="s">
        <v>179</v>
      </c>
      <c r="J3781" t="s">
        <v>848</v>
      </c>
      <c r="K3781" t="s">
        <v>180</v>
      </c>
      <c r="L3781">
        <v>200087574</v>
      </c>
    </row>
    <row r="3782" spans="3:12">
      <c r="C3782">
        <v>2100300025</v>
      </c>
      <c r="D3782">
        <v>6426000</v>
      </c>
      <c r="E3782" t="s">
        <v>188</v>
      </c>
      <c r="F3782">
        <v>5210010105</v>
      </c>
      <c r="G3782" s="13">
        <v>17800</v>
      </c>
      <c r="I3782" t="s">
        <v>179</v>
      </c>
      <c r="J3782" t="s">
        <v>848</v>
      </c>
      <c r="K3782" t="s">
        <v>180</v>
      </c>
      <c r="L3782">
        <v>200085300</v>
      </c>
    </row>
    <row r="3783" spans="3:12">
      <c r="C3783">
        <v>2100300025</v>
      </c>
      <c r="D3783">
        <v>6426000</v>
      </c>
      <c r="E3783" t="s">
        <v>188</v>
      </c>
      <c r="F3783">
        <v>5210010105</v>
      </c>
      <c r="G3783" s="13">
        <v>7910</v>
      </c>
      <c r="I3783" t="s">
        <v>179</v>
      </c>
      <c r="J3783" t="s">
        <v>848</v>
      </c>
      <c r="K3783" t="s">
        <v>180</v>
      </c>
      <c r="L3783">
        <v>200087627</v>
      </c>
    </row>
    <row r="3784" spans="3:12">
      <c r="C3784">
        <v>2100300025</v>
      </c>
      <c r="D3784">
        <v>6426000</v>
      </c>
      <c r="E3784" t="s">
        <v>188</v>
      </c>
      <c r="F3784">
        <v>5210010105</v>
      </c>
      <c r="G3784" s="13">
        <v>8890</v>
      </c>
      <c r="I3784" t="s">
        <v>179</v>
      </c>
      <c r="J3784" t="s">
        <v>848</v>
      </c>
      <c r="K3784" t="s">
        <v>180</v>
      </c>
      <c r="L3784">
        <v>200088102</v>
      </c>
    </row>
    <row r="3785" spans="3:12">
      <c r="C3785">
        <v>2100300025</v>
      </c>
      <c r="D3785">
        <v>6426000</v>
      </c>
      <c r="E3785" t="s">
        <v>188</v>
      </c>
      <c r="F3785">
        <v>5210010105</v>
      </c>
      <c r="G3785" s="13">
        <v>18725</v>
      </c>
      <c r="I3785" t="s">
        <v>179</v>
      </c>
      <c r="J3785" t="s">
        <v>952</v>
      </c>
      <c r="K3785" t="s">
        <v>180</v>
      </c>
      <c r="L3785">
        <v>200081592</v>
      </c>
    </row>
    <row r="3786" spans="3:12">
      <c r="C3786">
        <v>2100300025</v>
      </c>
      <c r="D3786">
        <v>6426000</v>
      </c>
      <c r="E3786" t="s">
        <v>188</v>
      </c>
      <c r="F3786">
        <v>5210010105</v>
      </c>
      <c r="G3786" s="13">
        <v>24075</v>
      </c>
      <c r="I3786" t="s">
        <v>179</v>
      </c>
      <c r="J3786" t="s">
        <v>952</v>
      </c>
      <c r="K3786" t="s">
        <v>180</v>
      </c>
      <c r="L3786">
        <v>200081593</v>
      </c>
    </row>
    <row r="3787" spans="3:12">
      <c r="C3787">
        <v>2100300025</v>
      </c>
      <c r="D3787">
        <v>6426000</v>
      </c>
      <c r="E3787" t="s">
        <v>188</v>
      </c>
      <c r="F3787">
        <v>5210010105</v>
      </c>
      <c r="G3787">
        <v>267.5</v>
      </c>
      <c r="I3787" t="s">
        <v>179</v>
      </c>
      <c r="J3787" t="s">
        <v>953</v>
      </c>
      <c r="K3787" t="s">
        <v>180</v>
      </c>
      <c r="L3787">
        <v>200087071</v>
      </c>
    </row>
    <row r="3788" spans="3:12">
      <c r="C3788">
        <v>2100300025</v>
      </c>
      <c r="D3788">
        <v>6426000</v>
      </c>
      <c r="E3788" t="s">
        <v>188</v>
      </c>
      <c r="F3788">
        <v>5210010105</v>
      </c>
      <c r="G3788">
        <v>260</v>
      </c>
      <c r="I3788" t="s">
        <v>179</v>
      </c>
      <c r="J3788" t="s">
        <v>953</v>
      </c>
      <c r="K3788" t="s">
        <v>180</v>
      </c>
      <c r="L3788">
        <v>200087072</v>
      </c>
    </row>
    <row r="3789" spans="3:12">
      <c r="C3789">
        <v>2100300025</v>
      </c>
      <c r="D3789">
        <v>6426000</v>
      </c>
      <c r="E3789" t="s">
        <v>188</v>
      </c>
      <c r="F3789">
        <v>5210010105</v>
      </c>
      <c r="G3789" s="13">
        <v>4000</v>
      </c>
      <c r="I3789" t="s">
        <v>179</v>
      </c>
      <c r="J3789" t="s">
        <v>953</v>
      </c>
      <c r="K3789" t="s">
        <v>180</v>
      </c>
      <c r="L3789">
        <v>200087073</v>
      </c>
    </row>
    <row r="3790" spans="3:12">
      <c r="C3790">
        <v>2100300025</v>
      </c>
      <c r="D3790">
        <v>6426000</v>
      </c>
      <c r="E3790" t="s">
        <v>188</v>
      </c>
      <c r="F3790">
        <v>5210010105</v>
      </c>
      <c r="G3790">
        <v>115.56</v>
      </c>
      <c r="I3790" t="s">
        <v>179</v>
      </c>
      <c r="J3790" t="s">
        <v>953</v>
      </c>
      <c r="K3790" t="s">
        <v>180</v>
      </c>
      <c r="L3790">
        <v>200087074</v>
      </c>
    </row>
    <row r="3791" spans="3:12">
      <c r="C3791">
        <v>2100300025</v>
      </c>
      <c r="D3791">
        <v>6426000</v>
      </c>
      <c r="E3791" t="s">
        <v>188</v>
      </c>
      <c r="F3791">
        <v>5210010105</v>
      </c>
      <c r="G3791">
        <v>351.16</v>
      </c>
      <c r="I3791" t="s">
        <v>179</v>
      </c>
      <c r="J3791" t="s">
        <v>953</v>
      </c>
      <c r="K3791" t="s">
        <v>180</v>
      </c>
      <c r="L3791">
        <v>200087075</v>
      </c>
    </row>
    <row r="3792" spans="3:12">
      <c r="C3792">
        <v>2100300025</v>
      </c>
      <c r="D3792">
        <v>6426000</v>
      </c>
      <c r="E3792" t="s">
        <v>188</v>
      </c>
      <c r="F3792">
        <v>5210010105</v>
      </c>
      <c r="G3792" s="13">
        <v>10260</v>
      </c>
      <c r="I3792" t="s">
        <v>179</v>
      </c>
      <c r="J3792" t="s">
        <v>953</v>
      </c>
      <c r="K3792" t="s">
        <v>180</v>
      </c>
      <c r="L3792">
        <v>200087076</v>
      </c>
    </row>
    <row r="3793" spans="3:12">
      <c r="C3793">
        <v>2100300025</v>
      </c>
      <c r="D3793">
        <v>6426000</v>
      </c>
      <c r="E3793" t="s">
        <v>188</v>
      </c>
      <c r="F3793">
        <v>5210010105</v>
      </c>
      <c r="G3793" s="13">
        <v>2300</v>
      </c>
      <c r="I3793" t="s">
        <v>179</v>
      </c>
      <c r="J3793" t="s">
        <v>953</v>
      </c>
      <c r="K3793" t="s">
        <v>180</v>
      </c>
      <c r="L3793">
        <v>200073984</v>
      </c>
    </row>
    <row r="3794" spans="3:12">
      <c r="C3794">
        <v>2100300025</v>
      </c>
      <c r="D3794">
        <v>6426000</v>
      </c>
      <c r="E3794" t="s">
        <v>188</v>
      </c>
      <c r="F3794">
        <v>5210010105</v>
      </c>
      <c r="G3794" s="13">
        <v>4649.1499999999996</v>
      </c>
      <c r="I3794" t="s">
        <v>179</v>
      </c>
      <c r="J3794" t="s">
        <v>953</v>
      </c>
      <c r="K3794" t="s">
        <v>180</v>
      </c>
      <c r="L3794">
        <v>200085274</v>
      </c>
    </row>
    <row r="3795" spans="3:12">
      <c r="C3795">
        <v>2100300025</v>
      </c>
      <c r="D3795">
        <v>6426000</v>
      </c>
      <c r="E3795" t="s">
        <v>188</v>
      </c>
      <c r="F3795">
        <v>5210010105</v>
      </c>
      <c r="G3795">
        <v>319.93</v>
      </c>
      <c r="I3795" t="s">
        <v>179</v>
      </c>
      <c r="J3795" t="s">
        <v>953</v>
      </c>
      <c r="K3795" t="s">
        <v>180</v>
      </c>
      <c r="L3795">
        <v>200086869</v>
      </c>
    </row>
    <row r="3796" spans="3:12">
      <c r="C3796">
        <v>2100300025</v>
      </c>
      <c r="D3796">
        <v>6426000</v>
      </c>
      <c r="E3796" t="s">
        <v>188</v>
      </c>
      <c r="F3796">
        <v>5210010105</v>
      </c>
      <c r="G3796" s="13">
        <v>1311123.75</v>
      </c>
      <c r="I3796" t="s">
        <v>179</v>
      </c>
      <c r="J3796" t="s">
        <v>954</v>
      </c>
      <c r="K3796" t="s">
        <v>180</v>
      </c>
      <c r="L3796">
        <v>200081297</v>
      </c>
    </row>
    <row r="3797" spans="3:12">
      <c r="C3797">
        <v>2100300025</v>
      </c>
      <c r="D3797">
        <v>6426000</v>
      </c>
      <c r="E3797" t="s">
        <v>188</v>
      </c>
      <c r="F3797">
        <v>5210010105</v>
      </c>
      <c r="G3797" s="13">
        <v>92444.79</v>
      </c>
      <c r="I3797" t="s">
        <v>179</v>
      </c>
      <c r="J3797" t="s">
        <v>955</v>
      </c>
      <c r="K3797" t="s">
        <v>180</v>
      </c>
      <c r="L3797">
        <v>200086907</v>
      </c>
    </row>
    <row r="3798" spans="3:12">
      <c r="C3798">
        <v>2100300025</v>
      </c>
      <c r="D3798">
        <v>6426000</v>
      </c>
      <c r="E3798" t="s">
        <v>188</v>
      </c>
      <c r="F3798">
        <v>5210010105</v>
      </c>
      <c r="G3798" s="13">
        <v>24460.2</v>
      </c>
      <c r="I3798" t="s">
        <v>179</v>
      </c>
      <c r="J3798" t="s">
        <v>955</v>
      </c>
      <c r="K3798" t="s">
        <v>180</v>
      </c>
      <c r="L3798">
        <v>200086272</v>
      </c>
    </row>
    <row r="3799" spans="3:12">
      <c r="C3799">
        <v>2100300025</v>
      </c>
      <c r="D3799">
        <v>6426000</v>
      </c>
      <c r="E3799" t="s">
        <v>188</v>
      </c>
      <c r="F3799">
        <v>5210010105</v>
      </c>
      <c r="G3799" s="13">
        <v>7490</v>
      </c>
      <c r="I3799" t="s">
        <v>179</v>
      </c>
      <c r="J3799" t="s">
        <v>955</v>
      </c>
      <c r="K3799" t="s">
        <v>180</v>
      </c>
      <c r="L3799">
        <v>200086273</v>
      </c>
    </row>
    <row r="3800" spans="3:12">
      <c r="C3800">
        <v>2100300025</v>
      </c>
      <c r="D3800">
        <v>6426000</v>
      </c>
      <c r="E3800" t="s">
        <v>188</v>
      </c>
      <c r="F3800">
        <v>5210010105</v>
      </c>
      <c r="G3800" s="13">
        <v>130540</v>
      </c>
      <c r="I3800" t="s">
        <v>179</v>
      </c>
      <c r="J3800" t="s">
        <v>955</v>
      </c>
      <c r="K3800" t="s">
        <v>180</v>
      </c>
      <c r="L3800">
        <v>200086275</v>
      </c>
    </row>
    <row r="3801" spans="3:12">
      <c r="C3801">
        <v>2100300025</v>
      </c>
      <c r="D3801">
        <v>6426000</v>
      </c>
      <c r="E3801" t="s">
        <v>188</v>
      </c>
      <c r="F3801">
        <v>5210010105</v>
      </c>
      <c r="G3801" s="13">
        <v>1049.67</v>
      </c>
      <c r="I3801" t="s">
        <v>179</v>
      </c>
      <c r="J3801" t="s">
        <v>955</v>
      </c>
      <c r="K3801" t="s">
        <v>180</v>
      </c>
      <c r="L3801">
        <v>200086276</v>
      </c>
    </row>
    <row r="3802" spans="3:12">
      <c r="C3802">
        <v>2100300025</v>
      </c>
      <c r="D3802">
        <v>6426000</v>
      </c>
      <c r="E3802" t="s">
        <v>188</v>
      </c>
      <c r="F3802">
        <v>5210010105</v>
      </c>
      <c r="G3802" s="13">
        <v>49220</v>
      </c>
      <c r="I3802" t="s">
        <v>179</v>
      </c>
      <c r="J3802" t="s">
        <v>955</v>
      </c>
      <c r="K3802" t="s">
        <v>180</v>
      </c>
      <c r="L3802">
        <v>200083355</v>
      </c>
    </row>
    <row r="3803" spans="3:12">
      <c r="C3803">
        <v>2100300025</v>
      </c>
      <c r="D3803">
        <v>6426000</v>
      </c>
      <c r="E3803" t="s">
        <v>188</v>
      </c>
      <c r="F3803">
        <v>5210010105</v>
      </c>
      <c r="G3803" s="13">
        <v>40660</v>
      </c>
      <c r="I3803" t="s">
        <v>179</v>
      </c>
      <c r="J3803" t="s">
        <v>955</v>
      </c>
      <c r="K3803" t="s">
        <v>180</v>
      </c>
      <c r="L3803">
        <v>200086277</v>
      </c>
    </row>
    <row r="3804" spans="3:12">
      <c r="C3804">
        <v>2100300025</v>
      </c>
      <c r="D3804">
        <v>6426000</v>
      </c>
      <c r="E3804" t="s">
        <v>188</v>
      </c>
      <c r="F3804">
        <v>5210010105</v>
      </c>
      <c r="G3804" s="13">
        <v>14980</v>
      </c>
      <c r="I3804" t="s">
        <v>179</v>
      </c>
      <c r="J3804" t="s">
        <v>955</v>
      </c>
      <c r="K3804" t="s">
        <v>180</v>
      </c>
      <c r="L3804">
        <v>200086278</v>
      </c>
    </row>
    <row r="3805" spans="3:12">
      <c r="C3805">
        <v>2100300025</v>
      </c>
      <c r="D3805">
        <v>6426000</v>
      </c>
      <c r="E3805" t="s">
        <v>188</v>
      </c>
      <c r="F3805">
        <v>5210010105</v>
      </c>
      <c r="G3805" s="13">
        <v>81320</v>
      </c>
      <c r="I3805" t="s">
        <v>179</v>
      </c>
      <c r="J3805" t="s">
        <v>955</v>
      </c>
      <c r="K3805" t="s">
        <v>180</v>
      </c>
      <c r="L3805">
        <v>200086279</v>
      </c>
    </row>
    <row r="3806" spans="3:12">
      <c r="C3806">
        <v>2100300025</v>
      </c>
      <c r="D3806">
        <v>6426000</v>
      </c>
      <c r="E3806" t="s">
        <v>188</v>
      </c>
      <c r="F3806">
        <v>5210010105</v>
      </c>
      <c r="G3806" s="13">
        <v>21400</v>
      </c>
      <c r="I3806" t="s">
        <v>179</v>
      </c>
      <c r="J3806" t="s">
        <v>955</v>
      </c>
      <c r="K3806" t="s">
        <v>180</v>
      </c>
      <c r="L3806">
        <v>200086280</v>
      </c>
    </row>
    <row r="3807" spans="3:12">
      <c r="C3807">
        <v>2100300025</v>
      </c>
      <c r="D3807">
        <v>6426000</v>
      </c>
      <c r="E3807" t="s">
        <v>188</v>
      </c>
      <c r="F3807">
        <v>5210010105</v>
      </c>
      <c r="G3807" s="13">
        <v>32100</v>
      </c>
      <c r="I3807" t="s">
        <v>179</v>
      </c>
      <c r="J3807" t="s">
        <v>955</v>
      </c>
      <c r="K3807" t="s">
        <v>180</v>
      </c>
      <c r="L3807">
        <v>200086908</v>
      </c>
    </row>
    <row r="3808" spans="3:12">
      <c r="C3808">
        <v>2100300025</v>
      </c>
      <c r="D3808">
        <v>6426000</v>
      </c>
      <c r="E3808" t="s">
        <v>188</v>
      </c>
      <c r="F3808">
        <v>5210010105</v>
      </c>
      <c r="G3808" s="13">
        <v>36650</v>
      </c>
      <c r="I3808" t="s">
        <v>179</v>
      </c>
      <c r="J3808" t="s">
        <v>952</v>
      </c>
      <c r="K3808" t="s">
        <v>180</v>
      </c>
      <c r="L3808">
        <v>200082172</v>
      </c>
    </row>
    <row r="3809" spans="3:12">
      <c r="C3809">
        <v>2100300025</v>
      </c>
      <c r="D3809">
        <v>6426000</v>
      </c>
      <c r="E3809" t="s">
        <v>188</v>
      </c>
      <c r="F3809">
        <v>5210010105</v>
      </c>
      <c r="G3809" s="13">
        <v>5992</v>
      </c>
      <c r="I3809" t="s">
        <v>179</v>
      </c>
      <c r="J3809" t="s">
        <v>952</v>
      </c>
      <c r="K3809" t="s">
        <v>180</v>
      </c>
      <c r="L3809">
        <v>200082518</v>
      </c>
    </row>
    <row r="3810" spans="3:12">
      <c r="C3810">
        <v>2100300025</v>
      </c>
      <c r="D3810">
        <v>6426000</v>
      </c>
      <c r="E3810" t="s">
        <v>188</v>
      </c>
      <c r="F3810">
        <v>5210010105</v>
      </c>
      <c r="G3810" s="13">
        <v>4050</v>
      </c>
      <c r="I3810" t="s">
        <v>179</v>
      </c>
      <c r="J3810" t="s">
        <v>955</v>
      </c>
      <c r="K3810" t="s">
        <v>180</v>
      </c>
      <c r="L3810">
        <v>200086293</v>
      </c>
    </row>
    <row r="3811" spans="3:12">
      <c r="C3811">
        <v>2100300025</v>
      </c>
      <c r="D3811">
        <v>6426000</v>
      </c>
      <c r="E3811" t="s">
        <v>188</v>
      </c>
      <c r="F3811">
        <v>5210010105</v>
      </c>
      <c r="G3811" s="13">
        <v>93411</v>
      </c>
      <c r="I3811" t="s">
        <v>179</v>
      </c>
      <c r="J3811" t="s">
        <v>955</v>
      </c>
      <c r="K3811" t="s">
        <v>180</v>
      </c>
      <c r="L3811">
        <v>200086294</v>
      </c>
    </row>
    <row r="3812" spans="3:12">
      <c r="C3812">
        <v>2100300025</v>
      </c>
      <c r="D3812">
        <v>6426000</v>
      </c>
      <c r="E3812" t="s">
        <v>188</v>
      </c>
      <c r="F3812">
        <v>5210010105</v>
      </c>
      <c r="G3812" s="13">
        <v>8437</v>
      </c>
      <c r="I3812" t="s">
        <v>179</v>
      </c>
      <c r="J3812" t="s">
        <v>955</v>
      </c>
      <c r="K3812" t="s">
        <v>180</v>
      </c>
      <c r="L3812">
        <v>200086296</v>
      </c>
    </row>
    <row r="3813" spans="3:12">
      <c r="C3813">
        <v>2100300025</v>
      </c>
      <c r="D3813">
        <v>6426000</v>
      </c>
      <c r="E3813" t="s">
        <v>188</v>
      </c>
      <c r="F3813">
        <v>5210010105</v>
      </c>
      <c r="G3813">
        <v>920</v>
      </c>
      <c r="I3813" t="s">
        <v>179</v>
      </c>
      <c r="J3813" t="s">
        <v>954</v>
      </c>
      <c r="K3813" t="s">
        <v>180</v>
      </c>
      <c r="L3813">
        <v>200081046</v>
      </c>
    </row>
    <row r="3814" spans="3:12">
      <c r="C3814">
        <v>2100300025</v>
      </c>
      <c r="D3814">
        <v>6426000</v>
      </c>
      <c r="E3814" t="s">
        <v>188</v>
      </c>
      <c r="F3814">
        <v>5210010105</v>
      </c>
      <c r="G3814" s="13">
        <v>3800</v>
      </c>
      <c r="I3814" t="s">
        <v>179</v>
      </c>
      <c r="J3814" t="s">
        <v>954</v>
      </c>
      <c r="K3814" t="s">
        <v>180</v>
      </c>
      <c r="L3814">
        <v>200081049</v>
      </c>
    </row>
    <row r="3815" spans="3:12">
      <c r="C3815">
        <v>2100300025</v>
      </c>
      <c r="D3815">
        <v>6426000</v>
      </c>
      <c r="E3815" t="s">
        <v>188</v>
      </c>
      <c r="F3815">
        <v>5210010105</v>
      </c>
      <c r="G3815" s="13">
        <v>1500</v>
      </c>
      <c r="I3815" t="s">
        <v>179</v>
      </c>
      <c r="J3815" t="s">
        <v>954</v>
      </c>
      <c r="K3815" t="s">
        <v>180</v>
      </c>
      <c r="L3815">
        <v>200081610</v>
      </c>
    </row>
    <row r="3816" spans="3:12">
      <c r="C3816">
        <v>2100300025</v>
      </c>
      <c r="D3816">
        <v>6426000</v>
      </c>
      <c r="E3816" t="s">
        <v>188</v>
      </c>
      <c r="F3816">
        <v>5210010105</v>
      </c>
      <c r="G3816" s="13">
        <v>68000</v>
      </c>
      <c r="I3816" t="s">
        <v>179</v>
      </c>
      <c r="J3816" t="s">
        <v>954</v>
      </c>
      <c r="K3816" t="s">
        <v>180</v>
      </c>
      <c r="L3816">
        <v>200080278</v>
      </c>
    </row>
    <row r="3817" spans="3:12">
      <c r="C3817">
        <v>2100300025</v>
      </c>
      <c r="D3817">
        <v>6426000</v>
      </c>
      <c r="E3817" t="s">
        <v>188</v>
      </c>
      <c r="F3817">
        <v>5210010105</v>
      </c>
      <c r="G3817" s="13">
        <v>16500</v>
      </c>
      <c r="I3817" t="s">
        <v>179</v>
      </c>
      <c r="J3817" t="s">
        <v>954</v>
      </c>
      <c r="K3817" t="s">
        <v>180</v>
      </c>
      <c r="L3817">
        <v>200081051</v>
      </c>
    </row>
    <row r="3818" spans="3:12">
      <c r="C3818">
        <v>2100300025</v>
      </c>
      <c r="D3818">
        <v>6426000</v>
      </c>
      <c r="E3818" t="s">
        <v>188</v>
      </c>
      <c r="F3818">
        <v>5210010105</v>
      </c>
      <c r="G3818" s="13">
        <v>1284</v>
      </c>
      <c r="I3818" t="s">
        <v>179</v>
      </c>
      <c r="J3818" t="s">
        <v>955</v>
      </c>
      <c r="K3818" t="s">
        <v>180</v>
      </c>
      <c r="L3818">
        <v>200083352</v>
      </c>
    </row>
    <row r="3819" spans="3:12">
      <c r="C3819">
        <v>2100300025</v>
      </c>
      <c r="D3819">
        <v>6426000</v>
      </c>
      <c r="E3819" t="s">
        <v>188</v>
      </c>
      <c r="F3819">
        <v>5210010105</v>
      </c>
      <c r="G3819" s="13">
        <v>6300</v>
      </c>
      <c r="I3819" t="s">
        <v>179</v>
      </c>
      <c r="J3819" t="s">
        <v>955</v>
      </c>
      <c r="K3819" t="s">
        <v>180</v>
      </c>
      <c r="L3819">
        <v>200085871</v>
      </c>
    </row>
    <row r="3820" spans="3:12">
      <c r="C3820">
        <v>2100300025</v>
      </c>
      <c r="D3820">
        <v>6426000</v>
      </c>
      <c r="E3820" t="s">
        <v>188</v>
      </c>
      <c r="F3820">
        <v>5210010105</v>
      </c>
      <c r="G3820" s="13">
        <v>2175</v>
      </c>
      <c r="I3820" t="s">
        <v>179</v>
      </c>
      <c r="J3820" t="s">
        <v>955</v>
      </c>
      <c r="K3820" t="s">
        <v>180</v>
      </c>
      <c r="L3820">
        <v>200085872</v>
      </c>
    </row>
    <row r="3821" spans="3:12">
      <c r="C3821">
        <v>2100300025</v>
      </c>
      <c r="D3821">
        <v>6426000</v>
      </c>
      <c r="E3821" t="s">
        <v>188</v>
      </c>
      <c r="F3821">
        <v>5210010105</v>
      </c>
      <c r="G3821" s="13">
        <v>12376</v>
      </c>
      <c r="I3821" t="s">
        <v>179</v>
      </c>
      <c r="J3821" t="s">
        <v>956</v>
      </c>
      <c r="K3821" t="s">
        <v>180</v>
      </c>
      <c r="L3821">
        <v>200085708</v>
      </c>
    </row>
    <row r="3822" spans="3:12">
      <c r="C3822">
        <v>2100300025</v>
      </c>
      <c r="D3822">
        <v>6426000</v>
      </c>
      <c r="E3822" t="s">
        <v>188</v>
      </c>
      <c r="F3822">
        <v>5210010105</v>
      </c>
      <c r="G3822" s="13">
        <v>9578</v>
      </c>
      <c r="I3822" t="s">
        <v>179</v>
      </c>
      <c r="J3822" t="s">
        <v>956</v>
      </c>
      <c r="K3822" t="s">
        <v>180</v>
      </c>
      <c r="L3822">
        <v>200084777</v>
      </c>
    </row>
    <row r="3823" spans="3:12">
      <c r="C3823">
        <v>2100300025</v>
      </c>
      <c r="D3823">
        <v>6426000</v>
      </c>
      <c r="E3823" t="s">
        <v>188</v>
      </c>
      <c r="F3823">
        <v>5210010105</v>
      </c>
      <c r="G3823" s="13">
        <v>1605</v>
      </c>
      <c r="I3823" t="s">
        <v>179</v>
      </c>
      <c r="J3823" t="s">
        <v>956</v>
      </c>
      <c r="K3823" t="s">
        <v>180</v>
      </c>
      <c r="L3823">
        <v>200083936</v>
      </c>
    </row>
    <row r="3824" spans="3:12">
      <c r="C3824">
        <v>2100300025</v>
      </c>
      <c r="D3824">
        <v>6426000</v>
      </c>
      <c r="E3824" t="s">
        <v>188</v>
      </c>
      <c r="F3824">
        <v>5210010105</v>
      </c>
      <c r="G3824" s="13">
        <v>4815</v>
      </c>
      <c r="I3824" t="s">
        <v>179</v>
      </c>
      <c r="J3824" t="s">
        <v>956</v>
      </c>
      <c r="K3824" t="s">
        <v>180</v>
      </c>
      <c r="L3824">
        <v>200084783</v>
      </c>
    </row>
    <row r="3825" spans="3:12">
      <c r="C3825">
        <v>2100300025</v>
      </c>
      <c r="D3825">
        <v>6426000</v>
      </c>
      <c r="E3825" t="s">
        <v>188</v>
      </c>
      <c r="F3825">
        <v>5210010105</v>
      </c>
      <c r="G3825" s="13">
        <v>2575</v>
      </c>
      <c r="I3825" t="s">
        <v>179</v>
      </c>
      <c r="J3825" t="s">
        <v>956</v>
      </c>
      <c r="K3825" t="s">
        <v>180</v>
      </c>
      <c r="L3825">
        <v>200084876</v>
      </c>
    </row>
    <row r="3826" spans="3:12">
      <c r="C3826">
        <v>2100300025</v>
      </c>
      <c r="D3826">
        <v>6426000</v>
      </c>
      <c r="E3826" t="s">
        <v>188</v>
      </c>
      <c r="F3826">
        <v>5210010105</v>
      </c>
      <c r="G3826" s="13">
        <v>3005</v>
      </c>
      <c r="I3826" t="s">
        <v>179</v>
      </c>
      <c r="J3826" t="s">
        <v>956</v>
      </c>
      <c r="K3826" t="s">
        <v>180</v>
      </c>
      <c r="L3826">
        <v>200084877</v>
      </c>
    </row>
    <row r="3827" spans="3:12">
      <c r="C3827">
        <v>2100300025</v>
      </c>
      <c r="D3827">
        <v>6426000</v>
      </c>
      <c r="E3827" t="s">
        <v>188</v>
      </c>
      <c r="F3827">
        <v>5210010105</v>
      </c>
      <c r="G3827" s="13">
        <v>1251</v>
      </c>
      <c r="I3827" t="s">
        <v>179</v>
      </c>
      <c r="J3827" t="s">
        <v>956</v>
      </c>
      <c r="K3827" t="s">
        <v>180</v>
      </c>
      <c r="L3827">
        <v>200084785</v>
      </c>
    </row>
    <row r="3828" spans="3:12">
      <c r="C3828">
        <v>2100300025</v>
      </c>
      <c r="D3828">
        <v>6426000</v>
      </c>
      <c r="E3828" t="s">
        <v>188</v>
      </c>
      <c r="F3828">
        <v>5210010105</v>
      </c>
      <c r="G3828" s="13">
        <v>1700</v>
      </c>
      <c r="I3828" t="s">
        <v>179</v>
      </c>
      <c r="J3828" t="s">
        <v>956</v>
      </c>
      <c r="K3828" t="s">
        <v>180</v>
      </c>
      <c r="L3828">
        <v>200084361</v>
      </c>
    </row>
    <row r="3829" spans="3:12">
      <c r="C3829">
        <v>2100300025</v>
      </c>
      <c r="D3829">
        <v>6426000</v>
      </c>
      <c r="E3829" t="s">
        <v>188</v>
      </c>
      <c r="F3829">
        <v>5210010105</v>
      </c>
      <c r="G3829" s="13">
        <v>1650</v>
      </c>
      <c r="I3829" t="s">
        <v>179</v>
      </c>
      <c r="J3829" t="s">
        <v>956</v>
      </c>
      <c r="K3829" t="s">
        <v>180</v>
      </c>
      <c r="L3829">
        <v>200084362</v>
      </c>
    </row>
    <row r="3830" spans="3:12">
      <c r="C3830">
        <v>2100300025</v>
      </c>
      <c r="D3830">
        <v>6426000</v>
      </c>
      <c r="E3830" t="s">
        <v>188</v>
      </c>
      <c r="F3830">
        <v>5210010105</v>
      </c>
      <c r="G3830">
        <v>475</v>
      </c>
      <c r="I3830" t="s">
        <v>179</v>
      </c>
      <c r="J3830" t="s">
        <v>956</v>
      </c>
      <c r="K3830" t="s">
        <v>180</v>
      </c>
      <c r="L3830">
        <v>200084363</v>
      </c>
    </row>
    <row r="3831" spans="3:12">
      <c r="C3831">
        <v>2100300025</v>
      </c>
      <c r="D3831">
        <v>6426000</v>
      </c>
      <c r="E3831" t="s">
        <v>188</v>
      </c>
      <c r="F3831">
        <v>5210010105</v>
      </c>
      <c r="G3831" s="13">
        <v>8000</v>
      </c>
      <c r="I3831" t="s">
        <v>179</v>
      </c>
      <c r="J3831" t="s">
        <v>956</v>
      </c>
      <c r="K3831" t="s">
        <v>180</v>
      </c>
      <c r="L3831">
        <v>200085552</v>
      </c>
    </row>
    <row r="3832" spans="3:12">
      <c r="C3832">
        <v>2100300025</v>
      </c>
      <c r="D3832">
        <v>6426000</v>
      </c>
      <c r="E3832" t="s">
        <v>188</v>
      </c>
      <c r="F3832">
        <v>5210010105</v>
      </c>
      <c r="G3832" s="13">
        <v>12840</v>
      </c>
      <c r="I3832" t="s">
        <v>179</v>
      </c>
      <c r="J3832" t="s">
        <v>957</v>
      </c>
      <c r="K3832" t="s">
        <v>180</v>
      </c>
      <c r="L3832">
        <v>200085175</v>
      </c>
    </row>
    <row r="3833" spans="3:12">
      <c r="C3833">
        <v>2100300025</v>
      </c>
      <c r="D3833">
        <v>6426000</v>
      </c>
      <c r="E3833" t="s">
        <v>188</v>
      </c>
      <c r="F3833">
        <v>5210010105</v>
      </c>
      <c r="G3833" s="13">
        <v>13196</v>
      </c>
      <c r="I3833" t="s">
        <v>179</v>
      </c>
      <c r="J3833" t="s">
        <v>957</v>
      </c>
      <c r="K3833" t="s">
        <v>180</v>
      </c>
      <c r="L3833">
        <v>200084966</v>
      </c>
    </row>
    <row r="3834" spans="3:12">
      <c r="C3834">
        <v>2100300025</v>
      </c>
      <c r="D3834">
        <v>6426000</v>
      </c>
      <c r="E3834" t="s">
        <v>188</v>
      </c>
      <c r="F3834">
        <v>5210010105</v>
      </c>
      <c r="G3834" s="13">
        <v>2680</v>
      </c>
      <c r="I3834" t="s">
        <v>179</v>
      </c>
      <c r="J3834" t="s">
        <v>957</v>
      </c>
      <c r="K3834" t="s">
        <v>180</v>
      </c>
      <c r="L3834">
        <v>200084969</v>
      </c>
    </row>
    <row r="3835" spans="3:12">
      <c r="C3835">
        <v>2100300025</v>
      </c>
      <c r="D3835">
        <v>6426000</v>
      </c>
      <c r="E3835" t="s">
        <v>188</v>
      </c>
      <c r="F3835">
        <v>5210010105</v>
      </c>
      <c r="G3835" s="13">
        <v>32500</v>
      </c>
      <c r="I3835" t="s">
        <v>179</v>
      </c>
      <c r="J3835" t="s">
        <v>559</v>
      </c>
      <c r="K3835" t="s">
        <v>180</v>
      </c>
      <c r="L3835">
        <v>200085032</v>
      </c>
    </row>
    <row r="3836" spans="3:12">
      <c r="C3836">
        <v>2100300025</v>
      </c>
      <c r="D3836">
        <v>6426000</v>
      </c>
      <c r="E3836" t="s">
        <v>188</v>
      </c>
      <c r="F3836">
        <v>5210010105</v>
      </c>
      <c r="G3836" s="13">
        <v>2000</v>
      </c>
      <c r="I3836" t="s">
        <v>179</v>
      </c>
      <c r="J3836" t="s">
        <v>559</v>
      </c>
      <c r="K3836" t="s">
        <v>180</v>
      </c>
      <c r="L3836">
        <v>200084636</v>
      </c>
    </row>
    <row r="3837" spans="3:12">
      <c r="C3837">
        <v>2100300025</v>
      </c>
      <c r="D3837">
        <v>6426000</v>
      </c>
      <c r="E3837" t="s">
        <v>188</v>
      </c>
      <c r="F3837">
        <v>5210010105</v>
      </c>
      <c r="G3837" s="13">
        <v>2200</v>
      </c>
      <c r="I3837" t="s">
        <v>179</v>
      </c>
      <c r="J3837" t="s">
        <v>559</v>
      </c>
      <c r="K3837" t="s">
        <v>180</v>
      </c>
      <c r="L3837">
        <v>200085037</v>
      </c>
    </row>
    <row r="3838" spans="3:12">
      <c r="C3838">
        <v>2100300025</v>
      </c>
      <c r="D3838">
        <v>6426000</v>
      </c>
      <c r="E3838" t="s">
        <v>188</v>
      </c>
      <c r="F3838">
        <v>5210010105</v>
      </c>
      <c r="G3838">
        <v>260</v>
      </c>
      <c r="I3838" t="s">
        <v>179</v>
      </c>
      <c r="J3838" t="s">
        <v>958</v>
      </c>
      <c r="K3838" t="s">
        <v>180</v>
      </c>
      <c r="L3838">
        <v>200094146</v>
      </c>
    </row>
    <row r="3839" spans="3:12">
      <c r="C3839">
        <v>2100300025</v>
      </c>
      <c r="D3839">
        <v>6426000</v>
      </c>
      <c r="E3839" t="s">
        <v>188</v>
      </c>
      <c r="F3839">
        <v>5210010105</v>
      </c>
      <c r="G3839" s="13">
        <v>1500</v>
      </c>
      <c r="I3839" t="s">
        <v>179</v>
      </c>
      <c r="J3839" t="s">
        <v>958</v>
      </c>
      <c r="K3839" t="s">
        <v>180</v>
      </c>
      <c r="L3839">
        <v>200094147</v>
      </c>
    </row>
    <row r="3840" spans="3:12">
      <c r="C3840">
        <v>2100300025</v>
      </c>
      <c r="D3840">
        <v>6426000</v>
      </c>
      <c r="E3840" t="s">
        <v>188</v>
      </c>
      <c r="F3840">
        <v>5210010105</v>
      </c>
      <c r="G3840" s="13">
        <v>2500</v>
      </c>
      <c r="I3840" t="s">
        <v>179</v>
      </c>
      <c r="J3840" t="s">
        <v>958</v>
      </c>
      <c r="K3840" t="s">
        <v>180</v>
      </c>
      <c r="L3840">
        <v>200094148</v>
      </c>
    </row>
    <row r="3841" spans="3:12">
      <c r="C3841">
        <v>2100300025</v>
      </c>
      <c r="D3841">
        <v>6426000</v>
      </c>
      <c r="E3841" t="s">
        <v>188</v>
      </c>
      <c r="F3841">
        <v>5210010105</v>
      </c>
      <c r="G3841" s="13">
        <v>1839</v>
      </c>
      <c r="I3841" t="s">
        <v>179</v>
      </c>
      <c r="J3841" t="s">
        <v>958</v>
      </c>
      <c r="K3841" t="s">
        <v>180</v>
      </c>
      <c r="L3841">
        <v>200092599</v>
      </c>
    </row>
    <row r="3842" spans="3:12">
      <c r="C3842">
        <v>2100300025</v>
      </c>
      <c r="D3842">
        <v>6426000</v>
      </c>
      <c r="E3842" t="s">
        <v>188</v>
      </c>
      <c r="F3842">
        <v>5210010105</v>
      </c>
      <c r="G3842" s="13">
        <v>2760</v>
      </c>
      <c r="I3842" t="s">
        <v>179</v>
      </c>
      <c r="J3842" t="s">
        <v>958</v>
      </c>
      <c r="K3842" t="s">
        <v>180</v>
      </c>
      <c r="L3842">
        <v>200094149</v>
      </c>
    </row>
    <row r="3843" spans="3:12">
      <c r="C3843">
        <v>2100300025</v>
      </c>
      <c r="D3843">
        <v>6426000</v>
      </c>
      <c r="E3843" t="s">
        <v>188</v>
      </c>
      <c r="F3843">
        <v>5210010105</v>
      </c>
      <c r="G3843" s="13">
        <v>6205</v>
      </c>
      <c r="I3843" t="s">
        <v>179</v>
      </c>
      <c r="J3843" t="s">
        <v>958</v>
      </c>
      <c r="K3843" t="s">
        <v>180</v>
      </c>
      <c r="L3843">
        <v>200094151</v>
      </c>
    </row>
    <row r="3844" spans="3:12">
      <c r="C3844">
        <v>2100300025</v>
      </c>
      <c r="D3844">
        <v>6426000</v>
      </c>
      <c r="E3844" t="s">
        <v>188</v>
      </c>
      <c r="F3844">
        <v>5210010105</v>
      </c>
      <c r="G3844" s="13">
        <v>15805</v>
      </c>
      <c r="I3844" t="s">
        <v>179</v>
      </c>
      <c r="J3844" t="s">
        <v>958</v>
      </c>
      <c r="K3844" t="s">
        <v>180</v>
      </c>
      <c r="L3844">
        <v>200094152</v>
      </c>
    </row>
    <row r="3845" spans="3:12">
      <c r="C3845">
        <v>2100300025</v>
      </c>
      <c r="D3845">
        <v>6426000</v>
      </c>
      <c r="E3845" t="s">
        <v>188</v>
      </c>
      <c r="F3845">
        <v>5210010105</v>
      </c>
      <c r="G3845" s="13">
        <v>181258</v>
      </c>
      <c r="I3845" t="s">
        <v>179</v>
      </c>
      <c r="J3845" t="s">
        <v>958</v>
      </c>
      <c r="K3845" t="s">
        <v>180</v>
      </c>
      <c r="L3845">
        <v>200093639</v>
      </c>
    </row>
    <row r="3846" spans="3:12">
      <c r="C3846">
        <v>2100300025</v>
      </c>
      <c r="D3846">
        <v>6426000</v>
      </c>
      <c r="E3846" t="s">
        <v>188</v>
      </c>
      <c r="F3846">
        <v>5210010105</v>
      </c>
      <c r="G3846" s="13">
        <v>2600</v>
      </c>
      <c r="I3846" t="s">
        <v>179</v>
      </c>
      <c r="J3846" t="s">
        <v>958</v>
      </c>
      <c r="K3846" t="s">
        <v>180</v>
      </c>
      <c r="L3846">
        <v>200090172</v>
      </c>
    </row>
    <row r="3847" spans="3:12">
      <c r="C3847">
        <v>2100300025</v>
      </c>
      <c r="D3847">
        <v>6426000</v>
      </c>
      <c r="E3847" t="s">
        <v>188</v>
      </c>
      <c r="F3847">
        <v>5210010105</v>
      </c>
      <c r="G3847" s="13">
        <v>11136.6</v>
      </c>
      <c r="I3847" t="s">
        <v>179</v>
      </c>
      <c r="J3847" t="s">
        <v>958</v>
      </c>
      <c r="K3847" t="s">
        <v>180</v>
      </c>
      <c r="L3847">
        <v>200093731</v>
      </c>
    </row>
    <row r="3848" spans="3:12">
      <c r="C3848">
        <v>2100300025</v>
      </c>
      <c r="D3848">
        <v>6426000</v>
      </c>
      <c r="E3848" t="s">
        <v>188</v>
      </c>
      <c r="F3848">
        <v>5210010105</v>
      </c>
      <c r="G3848" s="13">
        <v>12800</v>
      </c>
      <c r="I3848" t="s">
        <v>179</v>
      </c>
      <c r="J3848" t="s">
        <v>959</v>
      </c>
      <c r="K3848" t="s">
        <v>180</v>
      </c>
      <c r="L3848">
        <v>200089860</v>
      </c>
    </row>
    <row r="3849" spans="3:12">
      <c r="C3849">
        <v>2100300025</v>
      </c>
      <c r="D3849">
        <v>6426000</v>
      </c>
      <c r="E3849" t="s">
        <v>188</v>
      </c>
      <c r="F3849">
        <v>5210010105</v>
      </c>
      <c r="G3849" s="13">
        <v>2160</v>
      </c>
      <c r="I3849" t="s">
        <v>179</v>
      </c>
      <c r="J3849" t="s">
        <v>959</v>
      </c>
      <c r="K3849" t="s">
        <v>180</v>
      </c>
      <c r="L3849">
        <v>200089861</v>
      </c>
    </row>
    <row r="3850" spans="3:12">
      <c r="C3850">
        <v>2100300025</v>
      </c>
      <c r="D3850">
        <v>6426000</v>
      </c>
      <c r="E3850" t="s">
        <v>188</v>
      </c>
      <c r="F3850">
        <v>5210010105</v>
      </c>
      <c r="G3850" s="13">
        <v>6360</v>
      </c>
      <c r="I3850" t="s">
        <v>179</v>
      </c>
      <c r="J3850" t="s">
        <v>959</v>
      </c>
      <c r="K3850" t="s">
        <v>180</v>
      </c>
      <c r="L3850">
        <v>200089862</v>
      </c>
    </row>
    <row r="3851" spans="3:12">
      <c r="C3851">
        <v>2100300025</v>
      </c>
      <c r="D3851">
        <v>6426000</v>
      </c>
      <c r="E3851" t="s">
        <v>188</v>
      </c>
      <c r="F3851">
        <v>5210010105</v>
      </c>
      <c r="G3851" s="13">
        <v>1860</v>
      </c>
      <c r="I3851" t="s">
        <v>179</v>
      </c>
      <c r="J3851" t="s">
        <v>959</v>
      </c>
      <c r="K3851" t="s">
        <v>180</v>
      </c>
      <c r="L3851">
        <v>200089863</v>
      </c>
    </row>
    <row r="3852" spans="3:12">
      <c r="C3852">
        <v>2100300025</v>
      </c>
      <c r="D3852">
        <v>6426000</v>
      </c>
      <c r="E3852" t="s">
        <v>188</v>
      </c>
      <c r="F3852">
        <v>5210010105</v>
      </c>
      <c r="G3852" s="13">
        <v>459620</v>
      </c>
      <c r="I3852" t="s">
        <v>179</v>
      </c>
      <c r="J3852" t="s">
        <v>959</v>
      </c>
      <c r="K3852" t="s">
        <v>180</v>
      </c>
      <c r="L3852">
        <v>200089281</v>
      </c>
    </row>
    <row r="3853" spans="3:12">
      <c r="C3853">
        <v>2100300025</v>
      </c>
      <c r="D3853">
        <v>6426000</v>
      </c>
      <c r="E3853" t="s">
        <v>188</v>
      </c>
      <c r="F3853">
        <v>5210010105</v>
      </c>
      <c r="G3853" s="13">
        <v>3054</v>
      </c>
      <c r="I3853" t="s">
        <v>179</v>
      </c>
      <c r="J3853" t="s">
        <v>959</v>
      </c>
      <c r="K3853" t="s">
        <v>180</v>
      </c>
      <c r="L3853">
        <v>200089184</v>
      </c>
    </row>
    <row r="3854" spans="3:12">
      <c r="C3854">
        <v>2100300025</v>
      </c>
      <c r="D3854">
        <v>6426000</v>
      </c>
      <c r="E3854" t="s">
        <v>188</v>
      </c>
      <c r="F3854">
        <v>5210010105</v>
      </c>
      <c r="G3854" s="13">
        <v>68373</v>
      </c>
      <c r="I3854" t="s">
        <v>179</v>
      </c>
      <c r="J3854" t="s">
        <v>959</v>
      </c>
      <c r="K3854" t="s">
        <v>180</v>
      </c>
      <c r="L3854">
        <v>200089868</v>
      </c>
    </row>
    <row r="3855" spans="3:12">
      <c r="C3855">
        <v>2100300025</v>
      </c>
      <c r="D3855">
        <v>6426000</v>
      </c>
      <c r="E3855" t="s">
        <v>188</v>
      </c>
      <c r="F3855">
        <v>5210010105</v>
      </c>
      <c r="G3855" s="13">
        <v>1895</v>
      </c>
      <c r="I3855" t="s">
        <v>179</v>
      </c>
      <c r="J3855" t="s">
        <v>960</v>
      </c>
      <c r="K3855" t="s">
        <v>180</v>
      </c>
      <c r="L3855">
        <v>200090845</v>
      </c>
    </row>
    <row r="3856" spans="3:12">
      <c r="C3856">
        <v>2100300025</v>
      </c>
      <c r="D3856">
        <v>6426000</v>
      </c>
      <c r="E3856" t="s">
        <v>188</v>
      </c>
      <c r="F3856">
        <v>5210010105</v>
      </c>
      <c r="G3856" s="13">
        <v>12108.66</v>
      </c>
      <c r="I3856" t="s">
        <v>179</v>
      </c>
      <c r="J3856" t="s">
        <v>960</v>
      </c>
      <c r="K3856" t="s">
        <v>180</v>
      </c>
      <c r="L3856">
        <v>200074965</v>
      </c>
    </row>
    <row r="3857" spans="3:12">
      <c r="C3857">
        <v>2100300025</v>
      </c>
      <c r="D3857">
        <v>6426000</v>
      </c>
      <c r="E3857" t="s">
        <v>188</v>
      </c>
      <c r="F3857">
        <v>5210010105</v>
      </c>
      <c r="G3857" s="13">
        <v>1000</v>
      </c>
      <c r="I3857" t="s">
        <v>179</v>
      </c>
      <c r="J3857" t="s">
        <v>961</v>
      </c>
      <c r="K3857" t="s">
        <v>180</v>
      </c>
      <c r="L3857">
        <v>200089438</v>
      </c>
    </row>
    <row r="3858" spans="3:12">
      <c r="C3858">
        <v>2100300025</v>
      </c>
      <c r="D3858">
        <v>6426000</v>
      </c>
      <c r="E3858" t="s">
        <v>188</v>
      </c>
      <c r="F3858">
        <v>5210010105</v>
      </c>
      <c r="G3858" s="13">
        <v>35080</v>
      </c>
      <c r="I3858" t="s">
        <v>179</v>
      </c>
      <c r="J3858" t="s">
        <v>961</v>
      </c>
      <c r="K3858" t="s">
        <v>180</v>
      </c>
      <c r="L3858">
        <v>200074951</v>
      </c>
    </row>
    <row r="3859" spans="3:12">
      <c r="C3859">
        <v>2100300025</v>
      </c>
      <c r="D3859">
        <v>6426000</v>
      </c>
      <c r="E3859" t="s">
        <v>188</v>
      </c>
      <c r="F3859">
        <v>5210010105</v>
      </c>
      <c r="G3859" s="13">
        <v>8237</v>
      </c>
      <c r="I3859" t="s">
        <v>179</v>
      </c>
      <c r="J3859" t="s">
        <v>873</v>
      </c>
      <c r="K3859" t="s">
        <v>180</v>
      </c>
      <c r="L3859">
        <v>200092518</v>
      </c>
    </row>
    <row r="3860" spans="3:12">
      <c r="C3860">
        <v>2100300025</v>
      </c>
      <c r="D3860">
        <v>6426000</v>
      </c>
      <c r="E3860" t="s">
        <v>188</v>
      </c>
      <c r="F3860">
        <v>5210010105</v>
      </c>
      <c r="G3860" s="13">
        <v>10408</v>
      </c>
      <c r="I3860" t="s">
        <v>179</v>
      </c>
      <c r="J3860" t="s">
        <v>873</v>
      </c>
      <c r="K3860" t="s">
        <v>180</v>
      </c>
      <c r="L3860">
        <v>200093027</v>
      </c>
    </row>
    <row r="3861" spans="3:12">
      <c r="C3861">
        <v>2100300025</v>
      </c>
      <c r="D3861">
        <v>6426000</v>
      </c>
      <c r="E3861" t="s">
        <v>188</v>
      </c>
      <c r="F3861">
        <v>5210010105</v>
      </c>
      <c r="G3861" s="13">
        <v>2000</v>
      </c>
      <c r="I3861" t="s">
        <v>179</v>
      </c>
      <c r="J3861" t="s">
        <v>873</v>
      </c>
      <c r="K3861" t="s">
        <v>180</v>
      </c>
      <c r="L3861">
        <v>200093028</v>
      </c>
    </row>
    <row r="3862" spans="3:12">
      <c r="C3862">
        <v>2100300025</v>
      </c>
      <c r="D3862">
        <v>6426000</v>
      </c>
      <c r="E3862" t="s">
        <v>188</v>
      </c>
      <c r="F3862">
        <v>5210010105</v>
      </c>
      <c r="G3862" s="13">
        <v>1540</v>
      </c>
      <c r="I3862" t="s">
        <v>179</v>
      </c>
      <c r="J3862" t="s">
        <v>873</v>
      </c>
      <c r="K3862" t="s">
        <v>180</v>
      </c>
      <c r="L3862">
        <v>200091119</v>
      </c>
    </row>
    <row r="3863" spans="3:12">
      <c r="C3863">
        <v>2100300025</v>
      </c>
      <c r="D3863">
        <v>6426000</v>
      </c>
      <c r="E3863" t="s">
        <v>188</v>
      </c>
      <c r="F3863">
        <v>5210010105</v>
      </c>
      <c r="G3863" s="13">
        <v>90792</v>
      </c>
      <c r="I3863" t="s">
        <v>179</v>
      </c>
      <c r="J3863" t="s">
        <v>873</v>
      </c>
      <c r="K3863" t="s">
        <v>180</v>
      </c>
      <c r="L3863">
        <v>200093029</v>
      </c>
    </row>
    <row r="3864" spans="3:12">
      <c r="C3864">
        <v>2100300025</v>
      </c>
      <c r="D3864">
        <v>6426000</v>
      </c>
      <c r="E3864" t="s">
        <v>188</v>
      </c>
      <c r="F3864">
        <v>5210010105</v>
      </c>
      <c r="G3864" s="13">
        <v>22145</v>
      </c>
      <c r="I3864" t="s">
        <v>179</v>
      </c>
      <c r="J3864" t="s">
        <v>961</v>
      </c>
      <c r="K3864" t="s">
        <v>180</v>
      </c>
      <c r="L3864">
        <v>200089238</v>
      </c>
    </row>
    <row r="3865" spans="3:12">
      <c r="C3865">
        <v>2100300025</v>
      </c>
      <c r="D3865">
        <v>6426000</v>
      </c>
      <c r="E3865" t="s">
        <v>188</v>
      </c>
      <c r="F3865">
        <v>5210010105</v>
      </c>
      <c r="G3865" s="13">
        <v>40000</v>
      </c>
      <c r="I3865" t="s">
        <v>179</v>
      </c>
      <c r="J3865" t="s">
        <v>961</v>
      </c>
      <c r="K3865" t="s">
        <v>180</v>
      </c>
      <c r="L3865">
        <v>200089134</v>
      </c>
    </row>
    <row r="3866" spans="3:12">
      <c r="C3866">
        <v>2100300025</v>
      </c>
      <c r="D3866">
        <v>6426000</v>
      </c>
      <c r="E3866" t="s">
        <v>188</v>
      </c>
      <c r="F3866">
        <v>5210010105</v>
      </c>
      <c r="G3866">
        <v>750</v>
      </c>
      <c r="I3866" t="s">
        <v>179</v>
      </c>
      <c r="J3866" t="s">
        <v>961</v>
      </c>
      <c r="K3866" t="s">
        <v>180</v>
      </c>
      <c r="L3866">
        <v>200089136</v>
      </c>
    </row>
    <row r="3867" spans="3:12">
      <c r="C3867">
        <v>2100300025</v>
      </c>
      <c r="D3867">
        <v>6426000</v>
      </c>
      <c r="E3867" t="s">
        <v>188</v>
      </c>
      <c r="F3867">
        <v>5210010105</v>
      </c>
      <c r="G3867" s="13">
        <v>3000</v>
      </c>
      <c r="I3867" t="s">
        <v>179</v>
      </c>
      <c r="J3867" t="s">
        <v>961</v>
      </c>
      <c r="K3867" t="s">
        <v>180</v>
      </c>
      <c r="L3867">
        <v>200089242</v>
      </c>
    </row>
    <row r="3868" spans="3:12">
      <c r="C3868">
        <v>2100300025</v>
      </c>
      <c r="D3868">
        <v>6426000</v>
      </c>
      <c r="E3868" t="s">
        <v>188</v>
      </c>
      <c r="F3868">
        <v>5210010105</v>
      </c>
      <c r="G3868">
        <v>400</v>
      </c>
      <c r="I3868" t="s">
        <v>179</v>
      </c>
      <c r="J3868" t="s">
        <v>961</v>
      </c>
      <c r="K3868" t="s">
        <v>180</v>
      </c>
      <c r="L3868">
        <v>200089345</v>
      </c>
    </row>
    <row r="3869" spans="3:12">
      <c r="C3869">
        <v>2100300025</v>
      </c>
      <c r="D3869">
        <v>6426000</v>
      </c>
      <c r="E3869" t="s">
        <v>188</v>
      </c>
      <c r="F3869">
        <v>5210010105</v>
      </c>
      <c r="G3869">
        <v>800</v>
      </c>
      <c r="I3869" t="s">
        <v>179</v>
      </c>
      <c r="J3869" t="s">
        <v>961</v>
      </c>
      <c r="K3869" t="s">
        <v>180</v>
      </c>
      <c r="L3869">
        <v>200089346</v>
      </c>
    </row>
    <row r="3870" spans="3:12">
      <c r="C3870">
        <v>2100300025</v>
      </c>
      <c r="D3870">
        <v>6426000</v>
      </c>
      <c r="E3870" t="s">
        <v>188</v>
      </c>
      <c r="F3870">
        <v>5210010105</v>
      </c>
      <c r="G3870" s="13">
        <v>2500</v>
      </c>
      <c r="I3870" t="s">
        <v>179</v>
      </c>
      <c r="J3870" t="s">
        <v>961</v>
      </c>
      <c r="K3870" t="s">
        <v>180</v>
      </c>
      <c r="L3870">
        <v>200089347</v>
      </c>
    </row>
    <row r="3871" spans="3:12">
      <c r="C3871">
        <v>2100300025</v>
      </c>
      <c r="D3871">
        <v>6426000</v>
      </c>
      <c r="E3871" t="s">
        <v>188</v>
      </c>
      <c r="F3871">
        <v>5210010105</v>
      </c>
      <c r="G3871" s="13">
        <v>3900</v>
      </c>
      <c r="I3871" t="s">
        <v>179</v>
      </c>
      <c r="J3871" t="s">
        <v>961</v>
      </c>
      <c r="K3871" t="s">
        <v>180</v>
      </c>
      <c r="L3871">
        <v>200089348</v>
      </c>
    </row>
    <row r="3872" spans="3:12">
      <c r="C3872">
        <v>2100300025</v>
      </c>
      <c r="D3872">
        <v>6426000</v>
      </c>
      <c r="E3872" t="s">
        <v>188</v>
      </c>
      <c r="F3872">
        <v>5210010105</v>
      </c>
      <c r="G3872" s="13">
        <v>4000</v>
      </c>
      <c r="I3872" t="s">
        <v>179</v>
      </c>
      <c r="J3872" t="s">
        <v>962</v>
      </c>
      <c r="K3872" t="s">
        <v>180</v>
      </c>
      <c r="L3872">
        <v>200098470</v>
      </c>
    </row>
    <row r="3873" spans="3:12">
      <c r="C3873">
        <v>2100300025</v>
      </c>
      <c r="D3873">
        <v>6426000</v>
      </c>
      <c r="E3873" t="s">
        <v>188</v>
      </c>
      <c r="F3873">
        <v>5210010105</v>
      </c>
      <c r="G3873" s="13">
        <v>2905</v>
      </c>
      <c r="I3873" t="s">
        <v>179</v>
      </c>
      <c r="J3873" t="s">
        <v>962</v>
      </c>
      <c r="K3873" t="s">
        <v>180</v>
      </c>
      <c r="L3873">
        <v>200098471</v>
      </c>
    </row>
    <row r="3874" spans="3:12">
      <c r="C3874">
        <v>2100300025</v>
      </c>
      <c r="D3874">
        <v>6426000</v>
      </c>
      <c r="E3874" t="s">
        <v>188</v>
      </c>
      <c r="F3874">
        <v>5210010105</v>
      </c>
      <c r="G3874" s="13">
        <v>62954.31</v>
      </c>
      <c r="I3874" t="s">
        <v>179</v>
      </c>
      <c r="J3874" t="s">
        <v>962</v>
      </c>
      <c r="K3874" t="s">
        <v>180</v>
      </c>
      <c r="L3874">
        <v>200098472</v>
      </c>
    </row>
    <row r="3875" spans="3:12">
      <c r="C3875">
        <v>2100300025</v>
      </c>
      <c r="D3875">
        <v>6426000</v>
      </c>
      <c r="E3875" t="s">
        <v>188</v>
      </c>
      <c r="F3875">
        <v>5210010105</v>
      </c>
      <c r="G3875" s="13">
        <v>2200</v>
      </c>
      <c r="I3875" t="s">
        <v>179</v>
      </c>
      <c r="J3875" t="s">
        <v>962</v>
      </c>
      <c r="K3875" t="s">
        <v>180</v>
      </c>
      <c r="L3875">
        <v>200098461</v>
      </c>
    </row>
    <row r="3876" spans="3:12">
      <c r="C3876">
        <v>2100300025</v>
      </c>
      <c r="D3876">
        <v>6426000</v>
      </c>
      <c r="E3876" t="s">
        <v>188</v>
      </c>
      <c r="F3876">
        <v>5210010105</v>
      </c>
      <c r="G3876" s="13">
        <v>3662.5</v>
      </c>
      <c r="I3876" t="s">
        <v>179</v>
      </c>
      <c r="J3876" t="s">
        <v>962</v>
      </c>
      <c r="K3876" t="s">
        <v>180</v>
      </c>
      <c r="L3876">
        <v>200091148</v>
      </c>
    </row>
    <row r="3877" spans="3:12">
      <c r="C3877">
        <v>2100300025</v>
      </c>
      <c r="D3877">
        <v>6426000</v>
      </c>
      <c r="E3877" t="s">
        <v>188</v>
      </c>
      <c r="F3877">
        <v>5210010105</v>
      </c>
      <c r="G3877">
        <v>400</v>
      </c>
      <c r="I3877" t="s">
        <v>179</v>
      </c>
      <c r="J3877" t="s">
        <v>962</v>
      </c>
      <c r="K3877" t="s">
        <v>180</v>
      </c>
      <c r="L3877">
        <v>200097791</v>
      </c>
    </row>
    <row r="3878" spans="3:12">
      <c r="C3878">
        <v>2100300025</v>
      </c>
      <c r="D3878">
        <v>6426000</v>
      </c>
      <c r="E3878" t="s">
        <v>188</v>
      </c>
      <c r="F3878">
        <v>5210010105</v>
      </c>
      <c r="G3878" s="13">
        <v>1725</v>
      </c>
      <c r="I3878" t="s">
        <v>179</v>
      </c>
      <c r="J3878" t="s">
        <v>962</v>
      </c>
      <c r="K3878" t="s">
        <v>180</v>
      </c>
      <c r="L3878">
        <v>200098462</v>
      </c>
    </row>
    <row r="3879" spans="3:12">
      <c r="C3879">
        <v>2100300025</v>
      </c>
      <c r="D3879">
        <v>6426000</v>
      </c>
      <c r="E3879" t="s">
        <v>188</v>
      </c>
      <c r="F3879">
        <v>5210010105</v>
      </c>
      <c r="G3879" s="13">
        <v>2030</v>
      </c>
      <c r="I3879" t="s">
        <v>179</v>
      </c>
      <c r="J3879" t="s">
        <v>962</v>
      </c>
      <c r="K3879" t="s">
        <v>180</v>
      </c>
      <c r="L3879">
        <v>200097792</v>
      </c>
    </row>
    <row r="3880" spans="3:12">
      <c r="C3880">
        <v>2100300025</v>
      </c>
      <c r="D3880">
        <v>6426000</v>
      </c>
      <c r="E3880" t="s">
        <v>188</v>
      </c>
      <c r="F3880">
        <v>5210010105</v>
      </c>
      <c r="G3880" s="13">
        <v>800900</v>
      </c>
      <c r="I3880" t="s">
        <v>179</v>
      </c>
      <c r="J3880" t="s">
        <v>962</v>
      </c>
      <c r="K3880" t="s">
        <v>180</v>
      </c>
      <c r="L3880">
        <v>200097794</v>
      </c>
    </row>
    <row r="3881" spans="3:12">
      <c r="C3881">
        <v>2100300025</v>
      </c>
      <c r="D3881">
        <v>6426000</v>
      </c>
      <c r="E3881" t="s">
        <v>188</v>
      </c>
      <c r="F3881">
        <v>5210010105</v>
      </c>
      <c r="G3881" s="13">
        <v>190035</v>
      </c>
      <c r="I3881" t="s">
        <v>179</v>
      </c>
      <c r="J3881" t="s">
        <v>962</v>
      </c>
      <c r="K3881" t="s">
        <v>180</v>
      </c>
      <c r="L3881">
        <v>200098463</v>
      </c>
    </row>
    <row r="3882" spans="3:12">
      <c r="C3882">
        <v>2100300025</v>
      </c>
      <c r="D3882">
        <v>6426000</v>
      </c>
      <c r="E3882" t="s">
        <v>188</v>
      </c>
      <c r="F3882">
        <v>5210010105</v>
      </c>
      <c r="G3882" s="13">
        <v>9793</v>
      </c>
      <c r="I3882" t="s">
        <v>179</v>
      </c>
      <c r="J3882" t="s">
        <v>962</v>
      </c>
      <c r="K3882" t="s">
        <v>180</v>
      </c>
      <c r="L3882">
        <v>200098465</v>
      </c>
    </row>
    <row r="3883" spans="3:12">
      <c r="C3883">
        <v>2100300025</v>
      </c>
      <c r="D3883">
        <v>6426000</v>
      </c>
      <c r="E3883" t="s">
        <v>188</v>
      </c>
      <c r="F3883">
        <v>5210010105</v>
      </c>
      <c r="G3883" s="13">
        <v>160000</v>
      </c>
      <c r="I3883" t="s">
        <v>179</v>
      </c>
      <c r="J3883" t="s">
        <v>962</v>
      </c>
      <c r="K3883" t="s">
        <v>180</v>
      </c>
      <c r="L3883">
        <v>200099401</v>
      </c>
    </row>
    <row r="3884" spans="3:12">
      <c r="C3884">
        <v>2100300025</v>
      </c>
      <c r="D3884">
        <v>6426000</v>
      </c>
      <c r="E3884" t="s">
        <v>188</v>
      </c>
      <c r="F3884">
        <v>5210010105</v>
      </c>
      <c r="G3884" s="13">
        <v>60000</v>
      </c>
      <c r="I3884" t="s">
        <v>179</v>
      </c>
      <c r="J3884" t="s">
        <v>962</v>
      </c>
      <c r="K3884" t="s">
        <v>180</v>
      </c>
      <c r="L3884">
        <v>200097837</v>
      </c>
    </row>
    <row r="3885" spans="3:12">
      <c r="C3885">
        <v>2100300025</v>
      </c>
      <c r="D3885">
        <v>6426000</v>
      </c>
      <c r="E3885" t="s">
        <v>188</v>
      </c>
      <c r="F3885">
        <v>5210010105</v>
      </c>
      <c r="G3885" s="13">
        <v>203180</v>
      </c>
      <c r="I3885" t="s">
        <v>179</v>
      </c>
      <c r="J3885" t="s">
        <v>963</v>
      </c>
      <c r="K3885" t="s">
        <v>180</v>
      </c>
      <c r="L3885">
        <v>200092708</v>
      </c>
    </row>
    <row r="3886" spans="3:12">
      <c r="C3886">
        <v>2100300025</v>
      </c>
      <c r="D3886">
        <v>6426000</v>
      </c>
      <c r="E3886" t="s">
        <v>188</v>
      </c>
      <c r="F3886">
        <v>5210010105</v>
      </c>
      <c r="G3886" s="13">
        <v>3965.6</v>
      </c>
      <c r="I3886" t="s">
        <v>179</v>
      </c>
      <c r="J3886" t="s">
        <v>948</v>
      </c>
      <c r="K3886" t="s">
        <v>180</v>
      </c>
      <c r="L3886">
        <v>200058642</v>
      </c>
    </row>
    <row r="3887" spans="3:12">
      <c r="C3887">
        <v>2100300025</v>
      </c>
      <c r="D3887">
        <v>6426000</v>
      </c>
      <c r="E3887" t="s">
        <v>188</v>
      </c>
      <c r="F3887">
        <v>5210010105</v>
      </c>
      <c r="G3887">
        <v>449.4</v>
      </c>
      <c r="I3887" t="s">
        <v>179</v>
      </c>
      <c r="J3887" t="s">
        <v>948</v>
      </c>
      <c r="K3887" t="s">
        <v>180</v>
      </c>
      <c r="L3887">
        <v>200068985</v>
      </c>
    </row>
    <row r="3888" spans="3:12">
      <c r="C3888">
        <v>2100300025</v>
      </c>
      <c r="D3888">
        <v>6426000</v>
      </c>
      <c r="E3888" t="s">
        <v>188</v>
      </c>
      <c r="F3888">
        <v>5210010105</v>
      </c>
      <c r="G3888" s="13">
        <v>2568</v>
      </c>
      <c r="I3888" t="s">
        <v>179</v>
      </c>
      <c r="J3888" t="s">
        <v>948</v>
      </c>
      <c r="K3888" t="s">
        <v>180</v>
      </c>
      <c r="L3888">
        <v>200077522</v>
      </c>
    </row>
    <row r="3889" spans="3:12">
      <c r="C3889">
        <v>2100300025</v>
      </c>
      <c r="D3889">
        <v>6426000</v>
      </c>
      <c r="E3889" t="s">
        <v>188</v>
      </c>
      <c r="F3889">
        <v>5210010105</v>
      </c>
      <c r="G3889" s="13">
        <v>4280</v>
      </c>
      <c r="I3889" t="s">
        <v>179</v>
      </c>
      <c r="J3889" t="s">
        <v>948</v>
      </c>
      <c r="K3889" t="s">
        <v>180</v>
      </c>
      <c r="L3889">
        <v>200068986</v>
      </c>
    </row>
    <row r="3890" spans="3:12">
      <c r="C3890">
        <v>2100300025</v>
      </c>
      <c r="D3890">
        <v>6426000</v>
      </c>
      <c r="E3890" t="s">
        <v>188</v>
      </c>
      <c r="F3890">
        <v>5210010105</v>
      </c>
      <c r="G3890" s="13">
        <v>18938</v>
      </c>
      <c r="I3890" t="s">
        <v>179</v>
      </c>
      <c r="J3890" t="s">
        <v>950</v>
      </c>
      <c r="K3890" t="s">
        <v>180</v>
      </c>
      <c r="L3890">
        <v>200058645</v>
      </c>
    </row>
    <row r="3891" spans="3:12">
      <c r="C3891">
        <v>2100300025</v>
      </c>
      <c r="D3891">
        <v>6426000</v>
      </c>
      <c r="E3891" t="s">
        <v>188</v>
      </c>
      <c r="F3891">
        <v>5210010105</v>
      </c>
      <c r="G3891" s="13">
        <v>30000</v>
      </c>
      <c r="I3891" t="s">
        <v>179</v>
      </c>
      <c r="J3891" t="s">
        <v>950</v>
      </c>
      <c r="K3891" t="s">
        <v>180</v>
      </c>
      <c r="L3891">
        <v>200079409</v>
      </c>
    </row>
    <row r="3892" spans="3:12">
      <c r="C3892">
        <v>2100300025</v>
      </c>
      <c r="D3892">
        <v>6426000</v>
      </c>
      <c r="E3892" t="s">
        <v>188</v>
      </c>
      <c r="F3892">
        <v>5210010105</v>
      </c>
      <c r="G3892" s="13">
        <v>17000</v>
      </c>
      <c r="I3892" t="s">
        <v>179</v>
      </c>
      <c r="J3892" t="s">
        <v>951</v>
      </c>
      <c r="K3892" t="s">
        <v>180</v>
      </c>
      <c r="L3892">
        <v>200083637</v>
      </c>
    </row>
    <row r="3893" spans="3:12">
      <c r="C3893">
        <v>2100300025</v>
      </c>
      <c r="D3893">
        <v>6426000</v>
      </c>
      <c r="E3893" t="s">
        <v>188</v>
      </c>
      <c r="F3893">
        <v>5210010105</v>
      </c>
      <c r="G3893" s="13">
        <v>29500</v>
      </c>
      <c r="I3893" t="s">
        <v>179</v>
      </c>
      <c r="J3893" t="s">
        <v>951</v>
      </c>
      <c r="K3893" t="s">
        <v>180</v>
      </c>
      <c r="L3893">
        <v>200081962</v>
      </c>
    </row>
    <row r="3894" spans="3:12">
      <c r="C3894">
        <v>2100300025</v>
      </c>
      <c r="D3894">
        <v>6426000</v>
      </c>
      <c r="E3894" t="s">
        <v>188</v>
      </c>
      <c r="F3894">
        <v>5210010105</v>
      </c>
      <c r="G3894" s="13">
        <v>38000</v>
      </c>
      <c r="I3894" t="s">
        <v>179</v>
      </c>
      <c r="J3894" t="s">
        <v>846</v>
      </c>
      <c r="K3894" t="s">
        <v>180</v>
      </c>
      <c r="L3894">
        <v>200088516</v>
      </c>
    </row>
    <row r="3895" spans="3:12">
      <c r="C3895">
        <v>2100300025</v>
      </c>
      <c r="D3895">
        <v>6426000</v>
      </c>
      <c r="E3895" t="s">
        <v>188</v>
      </c>
      <c r="F3895">
        <v>5210010105</v>
      </c>
      <c r="G3895" s="13">
        <v>35000</v>
      </c>
      <c r="I3895" t="s">
        <v>179</v>
      </c>
      <c r="J3895" t="s">
        <v>846</v>
      </c>
      <c r="K3895" t="s">
        <v>180</v>
      </c>
      <c r="L3895">
        <v>200088517</v>
      </c>
    </row>
    <row r="3896" spans="3:12">
      <c r="C3896">
        <v>2100300025</v>
      </c>
      <c r="D3896">
        <v>6426000</v>
      </c>
      <c r="E3896" t="s">
        <v>188</v>
      </c>
      <c r="F3896">
        <v>5210010105</v>
      </c>
      <c r="G3896" s="13">
        <v>3700</v>
      </c>
      <c r="I3896" t="s">
        <v>179</v>
      </c>
      <c r="J3896" t="s">
        <v>848</v>
      </c>
      <c r="K3896" t="s">
        <v>180</v>
      </c>
      <c r="L3896">
        <v>200087592</v>
      </c>
    </row>
    <row r="3897" spans="3:12">
      <c r="C3897">
        <v>2100300025</v>
      </c>
      <c r="D3897">
        <v>6426000</v>
      </c>
      <c r="E3897" t="s">
        <v>188</v>
      </c>
      <c r="F3897">
        <v>5210010105</v>
      </c>
      <c r="G3897" s="13">
        <v>1890000</v>
      </c>
      <c r="I3897" t="s">
        <v>179</v>
      </c>
      <c r="J3897" t="s">
        <v>848</v>
      </c>
      <c r="K3897" t="s">
        <v>180</v>
      </c>
      <c r="L3897">
        <v>200087597</v>
      </c>
    </row>
    <row r="3898" spans="3:12">
      <c r="C3898">
        <v>2100300025</v>
      </c>
      <c r="D3898">
        <v>6426000</v>
      </c>
      <c r="E3898" t="s">
        <v>188</v>
      </c>
      <c r="F3898">
        <v>5210010105</v>
      </c>
      <c r="G3898" s="13">
        <v>440000</v>
      </c>
      <c r="I3898" t="s">
        <v>179</v>
      </c>
      <c r="J3898" t="s">
        <v>848</v>
      </c>
      <c r="K3898" t="s">
        <v>180</v>
      </c>
      <c r="L3898">
        <v>200087598</v>
      </c>
    </row>
    <row r="3899" spans="3:12">
      <c r="C3899">
        <v>2100300025</v>
      </c>
      <c r="D3899">
        <v>6426000</v>
      </c>
      <c r="E3899" t="s">
        <v>188</v>
      </c>
      <c r="F3899">
        <v>5210010105</v>
      </c>
      <c r="G3899" s="13">
        <v>400000</v>
      </c>
      <c r="I3899" t="s">
        <v>179</v>
      </c>
      <c r="J3899" t="s">
        <v>848</v>
      </c>
      <c r="K3899" t="s">
        <v>180</v>
      </c>
      <c r="L3899">
        <v>200087633</v>
      </c>
    </row>
    <row r="3900" spans="3:12">
      <c r="C3900">
        <v>2100300025</v>
      </c>
      <c r="D3900">
        <v>6426000</v>
      </c>
      <c r="E3900" t="s">
        <v>188</v>
      </c>
      <c r="F3900">
        <v>5210010105</v>
      </c>
      <c r="G3900" s="13">
        <v>23000</v>
      </c>
      <c r="I3900" t="s">
        <v>179</v>
      </c>
      <c r="J3900" t="s">
        <v>848</v>
      </c>
      <c r="K3900" t="s">
        <v>180</v>
      </c>
      <c r="L3900">
        <v>200087634</v>
      </c>
    </row>
    <row r="3901" spans="3:12">
      <c r="C3901">
        <v>2100300025</v>
      </c>
      <c r="D3901">
        <v>6426000</v>
      </c>
      <c r="E3901" t="s">
        <v>188</v>
      </c>
      <c r="F3901">
        <v>5210010105</v>
      </c>
      <c r="G3901" s="13">
        <v>28000</v>
      </c>
      <c r="I3901" t="s">
        <v>179</v>
      </c>
      <c r="J3901" t="s">
        <v>952</v>
      </c>
      <c r="K3901" t="s">
        <v>180</v>
      </c>
      <c r="L3901">
        <v>200082453</v>
      </c>
    </row>
    <row r="3902" spans="3:12">
      <c r="C3902">
        <v>2100300025</v>
      </c>
      <c r="D3902">
        <v>6426000</v>
      </c>
      <c r="E3902" t="s">
        <v>188</v>
      </c>
      <c r="F3902">
        <v>5210010105</v>
      </c>
      <c r="G3902" s="13">
        <v>15000</v>
      </c>
      <c r="I3902" t="s">
        <v>179</v>
      </c>
      <c r="J3902" t="s">
        <v>952</v>
      </c>
      <c r="K3902" t="s">
        <v>180</v>
      </c>
      <c r="L3902">
        <v>200082045</v>
      </c>
    </row>
    <row r="3903" spans="3:12">
      <c r="C3903">
        <v>2100300025</v>
      </c>
      <c r="D3903">
        <v>6426000</v>
      </c>
      <c r="E3903" t="s">
        <v>188</v>
      </c>
      <c r="F3903">
        <v>5210010105</v>
      </c>
      <c r="G3903" s="13">
        <v>63130</v>
      </c>
      <c r="I3903" t="s">
        <v>179</v>
      </c>
      <c r="J3903" t="s">
        <v>952</v>
      </c>
      <c r="K3903" t="s">
        <v>180</v>
      </c>
      <c r="L3903">
        <v>200082047</v>
      </c>
    </row>
    <row r="3904" spans="3:12">
      <c r="C3904">
        <v>2100300025</v>
      </c>
      <c r="D3904">
        <v>6426000</v>
      </c>
      <c r="E3904" t="s">
        <v>188</v>
      </c>
      <c r="F3904">
        <v>5210010105</v>
      </c>
      <c r="G3904" s="13">
        <v>34660</v>
      </c>
      <c r="I3904" t="s">
        <v>179</v>
      </c>
      <c r="J3904" t="s">
        <v>952</v>
      </c>
      <c r="K3904" t="s">
        <v>180</v>
      </c>
      <c r="L3904">
        <v>200082454</v>
      </c>
    </row>
    <row r="3905" spans="3:12">
      <c r="C3905">
        <v>2100300025</v>
      </c>
      <c r="D3905">
        <v>6426000</v>
      </c>
      <c r="E3905" t="s">
        <v>188</v>
      </c>
      <c r="F3905">
        <v>5210010105</v>
      </c>
      <c r="G3905" s="13">
        <v>16800</v>
      </c>
      <c r="I3905" t="s">
        <v>179</v>
      </c>
      <c r="J3905" t="s">
        <v>952</v>
      </c>
      <c r="K3905" t="s">
        <v>180</v>
      </c>
      <c r="L3905">
        <v>200082455</v>
      </c>
    </row>
    <row r="3906" spans="3:12">
      <c r="C3906">
        <v>2100300025</v>
      </c>
      <c r="D3906">
        <v>6426000</v>
      </c>
      <c r="E3906" t="s">
        <v>188</v>
      </c>
      <c r="F3906">
        <v>5210010105</v>
      </c>
      <c r="G3906" s="13">
        <v>10200</v>
      </c>
      <c r="I3906" t="s">
        <v>179</v>
      </c>
      <c r="J3906" t="s">
        <v>952</v>
      </c>
      <c r="K3906" t="s">
        <v>180</v>
      </c>
      <c r="L3906">
        <v>200082515</v>
      </c>
    </row>
    <row r="3907" spans="3:12">
      <c r="C3907">
        <v>2100300025</v>
      </c>
      <c r="D3907">
        <v>6426000</v>
      </c>
      <c r="E3907" t="s">
        <v>188</v>
      </c>
      <c r="F3907">
        <v>5210010105</v>
      </c>
      <c r="G3907" s="13">
        <v>31700</v>
      </c>
      <c r="I3907" t="s">
        <v>179</v>
      </c>
      <c r="J3907" t="s">
        <v>952</v>
      </c>
      <c r="K3907" t="s">
        <v>180</v>
      </c>
      <c r="L3907">
        <v>200082176</v>
      </c>
    </row>
    <row r="3908" spans="3:12">
      <c r="C3908">
        <v>2100300025</v>
      </c>
      <c r="D3908">
        <v>6426000</v>
      </c>
      <c r="E3908" t="s">
        <v>188</v>
      </c>
      <c r="F3908">
        <v>5210010105</v>
      </c>
      <c r="G3908" s="13">
        <v>90000</v>
      </c>
      <c r="I3908" t="s">
        <v>179</v>
      </c>
      <c r="J3908" t="s">
        <v>952</v>
      </c>
      <c r="K3908" t="s">
        <v>180</v>
      </c>
      <c r="L3908">
        <v>200082177</v>
      </c>
    </row>
    <row r="3909" spans="3:12">
      <c r="C3909">
        <v>2100300025</v>
      </c>
      <c r="D3909">
        <v>6426000</v>
      </c>
      <c r="E3909" t="s">
        <v>188</v>
      </c>
      <c r="F3909">
        <v>5210010105</v>
      </c>
      <c r="G3909" s="13">
        <v>238180</v>
      </c>
      <c r="I3909" t="s">
        <v>179</v>
      </c>
      <c r="J3909" t="s">
        <v>952</v>
      </c>
      <c r="K3909" t="s">
        <v>180</v>
      </c>
      <c r="L3909">
        <v>200082517</v>
      </c>
    </row>
    <row r="3910" spans="3:12">
      <c r="C3910">
        <v>2100300025</v>
      </c>
      <c r="D3910">
        <v>6426000</v>
      </c>
      <c r="E3910" t="s">
        <v>188</v>
      </c>
      <c r="F3910">
        <v>5210010105</v>
      </c>
      <c r="G3910" s="13">
        <v>100000</v>
      </c>
      <c r="I3910" t="s">
        <v>179</v>
      </c>
      <c r="J3910" t="s">
        <v>848</v>
      </c>
      <c r="K3910" t="s">
        <v>180</v>
      </c>
      <c r="L3910">
        <v>200087625</v>
      </c>
    </row>
    <row r="3911" spans="3:12">
      <c r="C3911">
        <v>2100300025</v>
      </c>
      <c r="D3911">
        <v>6426000</v>
      </c>
      <c r="E3911" t="s">
        <v>188</v>
      </c>
      <c r="F3911">
        <v>5210010105</v>
      </c>
      <c r="G3911" s="13">
        <v>25038</v>
      </c>
      <c r="I3911" t="s">
        <v>179</v>
      </c>
      <c r="J3911" t="s">
        <v>952</v>
      </c>
      <c r="K3911" t="s">
        <v>180</v>
      </c>
      <c r="L3911">
        <v>200082407</v>
      </c>
    </row>
    <row r="3912" spans="3:12">
      <c r="C3912">
        <v>2100300025</v>
      </c>
      <c r="D3912">
        <v>6426000</v>
      </c>
      <c r="E3912" t="s">
        <v>188</v>
      </c>
      <c r="F3912">
        <v>5210010105</v>
      </c>
      <c r="G3912" s="13">
        <v>300000</v>
      </c>
      <c r="I3912" t="s">
        <v>179</v>
      </c>
      <c r="J3912" t="s">
        <v>952</v>
      </c>
      <c r="K3912" t="s">
        <v>180</v>
      </c>
      <c r="L3912">
        <v>200077164</v>
      </c>
    </row>
    <row r="3913" spans="3:12">
      <c r="C3913">
        <v>2100300025</v>
      </c>
      <c r="D3913">
        <v>6426000</v>
      </c>
      <c r="E3913" t="s">
        <v>188</v>
      </c>
      <c r="F3913">
        <v>5210010105</v>
      </c>
      <c r="G3913" s="13">
        <v>43750</v>
      </c>
      <c r="I3913" t="s">
        <v>179</v>
      </c>
      <c r="J3913" t="s">
        <v>952</v>
      </c>
      <c r="K3913" t="s">
        <v>180</v>
      </c>
      <c r="L3913">
        <v>200082135</v>
      </c>
    </row>
    <row r="3914" spans="3:12">
      <c r="C3914">
        <v>2100300025</v>
      </c>
      <c r="D3914">
        <v>6426000</v>
      </c>
      <c r="E3914" t="s">
        <v>188</v>
      </c>
      <c r="F3914">
        <v>5210010105</v>
      </c>
      <c r="G3914" s="13">
        <v>75756</v>
      </c>
      <c r="I3914" t="s">
        <v>179</v>
      </c>
      <c r="J3914" t="s">
        <v>952</v>
      </c>
      <c r="K3914" t="s">
        <v>180</v>
      </c>
      <c r="L3914">
        <v>200082136</v>
      </c>
    </row>
    <row r="3915" spans="3:12">
      <c r="C3915">
        <v>2100300025</v>
      </c>
      <c r="D3915">
        <v>6426000</v>
      </c>
      <c r="E3915" t="s">
        <v>188</v>
      </c>
      <c r="F3915">
        <v>5210010105</v>
      </c>
      <c r="G3915" s="13">
        <v>30000</v>
      </c>
      <c r="I3915" t="s">
        <v>179</v>
      </c>
      <c r="J3915" t="s">
        <v>952</v>
      </c>
      <c r="K3915" t="s">
        <v>180</v>
      </c>
      <c r="L3915">
        <v>200082137</v>
      </c>
    </row>
    <row r="3916" spans="3:12">
      <c r="C3916">
        <v>2100300025</v>
      </c>
      <c r="D3916">
        <v>6426000</v>
      </c>
      <c r="E3916" t="s">
        <v>188</v>
      </c>
      <c r="F3916">
        <v>5210010105</v>
      </c>
      <c r="G3916" s="13">
        <v>192386</v>
      </c>
      <c r="I3916" t="s">
        <v>179</v>
      </c>
      <c r="J3916" t="s">
        <v>952</v>
      </c>
      <c r="K3916" t="s">
        <v>180</v>
      </c>
      <c r="L3916">
        <v>200082215</v>
      </c>
    </row>
    <row r="3917" spans="3:12">
      <c r="C3917">
        <v>2100300025</v>
      </c>
      <c r="D3917">
        <v>6426000</v>
      </c>
      <c r="E3917" t="s">
        <v>188</v>
      </c>
      <c r="F3917">
        <v>5210010105</v>
      </c>
      <c r="G3917" s="13">
        <v>4487.3999999999996</v>
      </c>
      <c r="I3917" t="s">
        <v>179</v>
      </c>
      <c r="J3917" t="s">
        <v>953</v>
      </c>
      <c r="K3917" t="s">
        <v>180</v>
      </c>
      <c r="L3917">
        <v>200085272</v>
      </c>
    </row>
    <row r="3918" spans="3:12">
      <c r="C3918">
        <v>2100300025</v>
      </c>
      <c r="D3918">
        <v>6426000</v>
      </c>
      <c r="E3918" t="s">
        <v>188</v>
      </c>
      <c r="F3918">
        <v>5210010105</v>
      </c>
      <c r="G3918" s="13">
        <v>9600</v>
      </c>
      <c r="I3918" t="s">
        <v>179</v>
      </c>
      <c r="J3918" t="s">
        <v>955</v>
      </c>
      <c r="K3918" t="s">
        <v>180</v>
      </c>
      <c r="L3918">
        <v>200086906</v>
      </c>
    </row>
    <row r="3919" spans="3:12">
      <c r="C3919">
        <v>2100300025</v>
      </c>
      <c r="D3919">
        <v>6426000</v>
      </c>
      <c r="E3919" t="s">
        <v>188</v>
      </c>
      <c r="F3919">
        <v>5210010105</v>
      </c>
      <c r="G3919" s="13">
        <v>12000</v>
      </c>
      <c r="I3919" t="s">
        <v>179</v>
      </c>
      <c r="J3919" t="s">
        <v>955</v>
      </c>
      <c r="K3919" t="s">
        <v>180</v>
      </c>
      <c r="L3919">
        <v>200086282</v>
      </c>
    </row>
    <row r="3920" spans="3:12">
      <c r="C3920">
        <v>2100300025</v>
      </c>
      <c r="D3920">
        <v>6426000</v>
      </c>
      <c r="E3920" t="s">
        <v>188</v>
      </c>
      <c r="F3920">
        <v>5210010105</v>
      </c>
      <c r="G3920">
        <v>492.2</v>
      </c>
      <c r="I3920" t="s">
        <v>179</v>
      </c>
      <c r="J3920" t="s">
        <v>955</v>
      </c>
      <c r="K3920" t="s">
        <v>180</v>
      </c>
      <c r="L3920">
        <v>200086912</v>
      </c>
    </row>
    <row r="3921" spans="3:12">
      <c r="C3921">
        <v>2100300025</v>
      </c>
      <c r="D3921">
        <v>6426000</v>
      </c>
      <c r="E3921" t="s">
        <v>188</v>
      </c>
      <c r="F3921">
        <v>5210010105</v>
      </c>
      <c r="G3921" s="13">
        <v>4140</v>
      </c>
      <c r="I3921" t="s">
        <v>179</v>
      </c>
      <c r="J3921" t="s">
        <v>955</v>
      </c>
      <c r="K3921" t="s">
        <v>180</v>
      </c>
      <c r="L3921">
        <v>200086913</v>
      </c>
    </row>
    <row r="3922" spans="3:12">
      <c r="C3922">
        <v>2100300025</v>
      </c>
      <c r="D3922">
        <v>6426000</v>
      </c>
      <c r="E3922" t="s">
        <v>188</v>
      </c>
      <c r="F3922">
        <v>5210010105</v>
      </c>
      <c r="G3922" s="13">
        <v>17347</v>
      </c>
      <c r="I3922" t="s">
        <v>179</v>
      </c>
      <c r="J3922" t="s">
        <v>954</v>
      </c>
      <c r="K3922" t="s">
        <v>180</v>
      </c>
      <c r="L3922">
        <v>200081050</v>
      </c>
    </row>
    <row r="3923" spans="3:12">
      <c r="C3923">
        <v>2100300025</v>
      </c>
      <c r="D3923">
        <v>6426000</v>
      </c>
      <c r="E3923" t="s">
        <v>188</v>
      </c>
      <c r="F3923">
        <v>5210010105</v>
      </c>
      <c r="G3923" s="13">
        <v>5500</v>
      </c>
      <c r="I3923" t="s">
        <v>179</v>
      </c>
      <c r="J3923" t="s">
        <v>954</v>
      </c>
      <c r="K3923" t="s">
        <v>180</v>
      </c>
      <c r="L3923">
        <v>200077159</v>
      </c>
    </row>
    <row r="3924" spans="3:12">
      <c r="C3924">
        <v>2100300025</v>
      </c>
      <c r="D3924">
        <v>6426000</v>
      </c>
      <c r="E3924" t="s">
        <v>188</v>
      </c>
      <c r="F3924">
        <v>5210010105</v>
      </c>
      <c r="G3924" s="13">
        <v>12500</v>
      </c>
      <c r="I3924" t="s">
        <v>179</v>
      </c>
      <c r="J3924" t="s">
        <v>954</v>
      </c>
      <c r="K3924" t="s">
        <v>180</v>
      </c>
      <c r="L3924">
        <v>200065186</v>
      </c>
    </row>
    <row r="3925" spans="3:12">
      <c r="C3925">
        <v>2100300025</v>
      </c>
      <c r="D3925">
        <v>6426000</v>
      </c>
      <c r="E3925" t="s">
        <v>188</v>
      </c>
      <c r="F3925">
        <v>5210010105</v>
      </c>
      <c r="G3925" s="13">
        <v>10000</v>
      </c>
      <c r="I3925" t="s">
        <v>179</v>
      </c>
      <c r="J3925" t="s">
        <v>954</v>
      </c>
      <c r="K3925" t="s">
        <v>180</v>
      </c>
      <c r="L3925">
        <v>200080862</v>
      </c>
    </row>
    <row r="3926" spans="3:12">
      <c r="C3926">
        <v>2100300025</v>
      </c>
      <c r="D3926">
        <v>6426000</v>
      </c>
      <c r="E3926" t="s">
        <v>188</v>
      </c>
      <c r="F3926">
        <v>5210010105</v>
      </c>
      <c r="G3926" s="13">
        <v>7000</v>
      </c>
      <c r="I3926" t="s">
        <v>179</v>
      </c>
      <c r="J3926" t="s">
        <v>955</v>
      </c>
      <c r="K3926" t="s">
        <v>180</v>
      </c>
      <c r="L3926">
        <v>200083353</v>
      </c>
    </row>
    <row r="3927" spans="3:12">
      <c r="C3927">
        <v>2100300025</v>
      </c>
      <c r="D3927">
        <v>6426000</v>
      </c>
      <c r="E3927" t="s">
        <v>188</v>
      </c>
      <c r="F3927">
        <v>5210010105</v>
      </c>
      <c r="G3927" s="13">
        <v>28890</v>
      </c>
      <c r="I3927" t="s">
        <v>179</v>
      </c>
      <c r="J3927" t="s">
        <v>955</v>
      </c>
      <c r="K3927" t="s">
        <v>180</v>
      </c>
      <c r="L3927">
        <v>200086252</v>
      </c>
    </row>
    <row r="3928" spans="3:12">
      <c r="C3928">
        <v>2100300025</v>
      </c>
      <c r="D3928">
        <v>6426000</v>
      </c>
      <c r="E3928" t="s">
        <v>188</v>
      </c>
      <c r="F3928">
        <v>5210010105</v>
      </c>
      <c r="G3928" s="13">
        <v>39697</v>
      </c>
      <c r="I3928" t="s">
        <v>179</v>
      </c>
      <c r="J3928" t="s">
        <v>956</v>
      </c>
      <c r="K3928" t="s">
        <v>180</v>
      </c>
      <c r="L3928">
        <v>200085553</v>
      </c>
    </row>
    <row r="3929" spans="3:12">
      <c r="C3929">
        <v>2100300025</v>
      </c>
      <c r="D3929">
        <v>6426000</v>
      </c>
      <c r="E3929" t="s">
        <v>188</v>
      </c>
      <c r="F3929">
        <v>5210010105</v>
      </c>
      <c r="G3929" s="13">
        <v>9390</v>
      </c>
      <c r="I3929" t="s">
        <v>179</v>
      </c>
      <c r="J3929" t="s">
        <v>957</v>
      </c>
      <c r="K3929" t="s">
        <v>180</v>
      </c>
      <c r="L3929">
        <v>200085176</v>
      </c>
    </row>
    <row r="3930" spans="3:12">
      <c r="C3930">
        <v>2100300025</v>
      </c>
      <c r="D3930">
        <v>6426000</v>
      </c>
      <c r="E3930" t="s">
        <v>188</v>
      </c>
      <c r="F3930">
        <v>5210010105</v>
      </c>
      <c r="G3930" s="13">
        <v>69500</v>
      </c>
      <c r="I3930" t="s">
        <v>179</v>
      </c>
      <c r="J3930" t="s">
        <v>559</v>
      </c>
      <c r="K3930" t="s">
        <v>180</v>
      </c>
      <c r="L3930">
        <v>200083527</v>
      </c>
    </row>
    <row r="3931" spans="3:12">
      <c r="C3931">
        <v>2100300025</v>
      </c>
      <c r="D3931">
        <v>6426000</v>
      </c>
      <c r="E3931" t="s">
        <v>188</v>
      </c>
      <c r="F3931">
        <v>5210010105</v>
      </c>
      <c r="G3931" s="13">
        <v>280000</v>
      </c>
      <c r="I3931" t="s">
        <v>179</v>
      </c>
      <c r="J3931" t="s">
        <v>559</v>
      </c>
      <c r="K3931" t="s">
        <v>180</v>
      </c>
      <c r="L3931">
        <v>200084635</v>
      </c>
    </row>
    <row r="3932" spans="3:12">
      <c r="C3932">
        <v>2100300025</v>
      </c>
      <c r="D3932">
        <v>6426000</v>
      </c>
      <c r="E3932" t="s">
        <v>188</v>
      </c>
      <c r="F3932">
        <v>5210010105</v>
      </c>
      <c r="G3932" s="13">
        <v>57138</v>
      </c>
      <c r="I3932" t="s">
        <v>179</v>
      </c>
      <c r="J3932" t="s">
        <v>559</v>
      </c>
      <c r="K3932" t="s">
        <v>180</v>
      </c>
      <c r="L3932">
        <v>200085038</v>
      </c>
    </row>
    <row r="3933" spans="3:12">
      <c r="C3933">
        <v>2100300025</v>
      </c>
      <c r="D3933">
        <v>6426000</v>
      </c>
      <c r="E3933" t="s">
        <v>188</v>
      </c>
      <c r="F3933">
        <v>5210010105</v>
      </c>
      <c r="G3933" s="13">
        <v>42650</v>
      </c>
      <c r="I3933" t="s">
        <v>179</v>
      </c>
      <c r="J3933" t="s">
        <v>958</v>
      </c>
      <c r="K3933" t="s">
        <v>180</v>
      </c>
      <c r="L3933">
        <v>200093439</v>
      </c>
    </row>
    <row r="3934" spans="3:12">
      <c r="C3934">
        <v>2100300025</v>
      </c>
      <c r="D3934">
        <v>6426000</v>
      </c>
      <c r="E3934" t="s">
        <v>188</v>
      </c>
      <c r="F3934">
        <v>5210010105</v>
      </c>
      <c r="G3934" s="13">
        <v>493270</v>
      </c>
      <c r="I3934" t="s">
        <v>179</v>
      </c>
      <c r="J3934" t="s">
        <v>958</v>
      </c>
      <c r="K3934" t="s">
        <v>180</v>
      </c>
      <c r="L3934">
        <v>200092594</v>
      </c>
    </row>
    <row r="3935" spans="3:12">
      <c r="C3935">
        <v>2100300025</v>
      </c>
      <c r="D3935">
        <v>6426000</v>
      </c>
      <c r="E3935" t="s">
        <v>188</v>
      </c>
      <c r="F3935">
        <v>5210010105</v>
      </c>
      <c r="G3935" s="13">
        <v>55450</v>
      </c>
      <c r="I3935" t="s">
        <v>179</v>
      </c>
      <c r="J3935" t="s">
        <v>958</v>
      </c>
      <c r="K3935" t="s">
        <v>180</v>
      </c>
      <c r="L3935">
        <v>200092595</v>
      </c>
    </row>
    <row r="3936" spans="3:12">
      <c r="C3936">
        <v>2100300025</v>
      </c>
      <c r="D3936">
        <v>6426000</v>
      </c>
      <c r="E3936" t="s">
        <v>188</v>
      </c>
      <c r="F3936">
        <v>5210010105</v>
      </c>
      <c r="G3936" s="13">
        <v>1242417.1000000001</v>
      </c>
      <c r="I3936" t="s">
        <v>179</v>
      </c>
      <c r="J3936" t="s">
        <v>958</v>
      </c>
      <c r="K3936" t="s">
        <v>180</v>
      </c>
      <c r="L3936">
        <v>200090861</v>
      </c>
    </row>
    <row r="3937" spans="3:12">
      <c r="C3937">
        <v>2100300025</v>
      </c>
      <c r="D3937">
        <v>6426000</v>
      </c>
      <c r="E3937" t="s">
        <v>188</v>
      </c>
      <c r="F3937">
        <v>5210010105</v>
      </c>
      <c r="G3937" s="13">
        <v>29670</v>
      </c>
      <c r="I3937" t="s">
        <v>179</v>
      </c>
      <c r="J3937" t="s">
        <v>958</v>
      </c>
      <c r="K3937" t="s">
        <v>180</v>
      </c>
      <c r="L3937">
        <v>200090862</v>
      </c>
    </row>
    <row r="3938" spans="3:12">
      <c r="C3938">
        <v>2100300025</v>
      </c>
      <c r="D3938">
        <v>6426000</v>
      </c>
      <c r="E3938" t="s">
        <v>188</v>
      </c>
      <c r="F3938">
        <v>5210010105</v>
      </c>
      <c r="G3938" s="13">
        <v>17072.400000000001</v>
      </c>
      <c r="I3938" t="s">
        <v>179</v>
      </c>
      <c r="J3938" t="s">
        <v>958</v>
      </c>
      <c r="K3938" t="s">
        <v>180</v>
      </c>
      <c r="L3938">
        <v>200090863</v>
      </c>
    </row>
    <row r="3939" spans="3:12">
      <c r="C3939">
        <v>2100300025</v>
      </c>
      <c r="D3939">
        <v>6426000</v>
      </c>
      <c r="E3939" t="s">
        <v>188</v>
      </c>
      <c r="F3939">
        <v>5210010105</v>
      </c>
      <c r="G3939" s="13">
        <v>5700</v>
      </c>
      <c r="I3939" t="s">
        <v>179</v>
      </c>
      <c r="J3939" t="s">
        <v>959</v>
      </c>
      <c r="K3939" t="s">
        <v>180</v>
      </c>
      <c r="L3939">
        <v>200089864</v>
      </c>
    </row>
    <row r="3940" spans="3:12">
      <c r="C3940">
        <v>2100300025</v>
      </c>
      <c r="D3940">
        <v>6426000</v>
      </c>
      <c r="E3940" t="s">
        <v>188</v>
      </c>
      <c r="F3940">
        <v>5210010105</v>
      </c>
      <c r="G3940">
        <v>180</v>
      </c>
      <c r="I3940" t="s">
        <v>179</v>
      </c>
      <c r="J3940" t="s">
        <v>959</v>
      </c>
      <c r="K3940" t="s">
        <v>180</v>
      </c>
      <c r="L3940">
        <v>200089865</v>
      </c>
    </row>
    <row r="3941" spans="3:12">
      <c r="C3941">
        <v>2100300025</v>
      </c>
      <c r="D3941">
        <v>6426000</v>
      </c>
      <c r="E3941" t="s">
        <v>188</v>
      </c>
      <c r="F3941">
        <v>5210010105</v>
      </c>
      <c r="G3941" s="13">
        <v>1766.5</v>
      </c>
      <c r="I3941" t="s">
        <v>179</v>
      </c>
      <c r="J3941" t="s">
        <v>959</v>
      </c>
      <c r="K3941" t="s">
        <v>180</v>
      </c>
      <c r="L3941">
        <v>200089866</v>
      </c>
    </row>
    <row r="3942" spans="3:12">
      <c r="C3942">
        <v>2100300025</v>
      </c>
      <c r="D3942">
        <v>6426000</v>
      </c>
      <c r="E3942" t="s">
        <v>188</v>
      </c>
      <c r="F3942">
        <v>5210010105</v>
      </c>
      <c r="G3942" s="13">
        <v>53500</v>
      </c>
      <c r="I3942" t="s">
        <v>179</v>
      </c>
      <c r="J3942" t="s">
        <v>961</v>
      </c>
      <c r="K3942" t="s">
        <v>180</v>
      </c>
      <c r="L3942">
        <v>200083980</v>
      </c>
    </row>
    <row r="3943" spans="3:12">
      <c r="C3943">
        <v>2100300025</v>
      </c>
      <c r="D3943">
        <v>6426000</v>
      </c>
      <c r="E3943" t="s">
        <v>188</v>
      </c>
      <c r="F3943">
        <v>5210010105</v>
      </c>
      <c r="G3943" s="13">
        <v>1250000</v>
      </c>
      <c r="I3943" t="s">
        <v>179</v>
      </c>
      <c r="J3943" t="s">
        <v>851</v>
      </c>
      <c r="K3943" t="s">
        <v>180</v>
      </c>
      <c r="L3943">
        <v>200099567</v>
      </c>
    </row>
    <row r="3944" spans="3:12">
      <c r="C3944">
        <v>2100300025</v>
      </c>
      <c r="D3944">
        <v>6426000</v>
      </c>
      <c r="E3944" t="s">
        <v>188</v>
      </c>
      <c r="F3944">
        <v>5210010105</v>
      </c>
      <c r="G3944" s="13">
        <v>7380</v>
      </c>
      <c r="I3944" t="s">
        <v>179</v>
      </c>
      <c r="J3944" t="s">
        <v>961</v>
      </c>
      <c r="K3944" t="s">
        <v>180</v>
      </c>
      <c r="L3944">
        <v>200089338</v>
      </c>
    </row>
    <row r="3945" spans="3:12">
      <c r="C3945">
        <v>2100300025</v>
      </c>
      <c r="D3945">
        <v>6426000</v>
      </c>
      <c r="E3945" t="s">
        <v>188</v>
      </c>
      <c r="F3945">
        <v>5210010105</v>
      </c>
      <c r="G3945" s="13">
        <v>39800</v>
      </c>
      <c r="I3945" t="s">
        <v>179</v>
      </c>
      <c r="J3945" t="s">
        <v>961</v>
      </c>
      <c r="K3945" t="s">
        <v>180</v>
      </c>
      <c r="L3945">
        <v>200083392</v>
      </c>
    </row>
    <row r="3946" spans="3:12">
      <c r="C3946">
        <v>2100300025</v>
      </c>
      <c r="D3946">
        <v>6426000</v>
      </c>
      <c r="E3946" t="s">
        <v>188</v>
      </c>
      <c r="F3946">
        <v>5210010105</v>
      </c>
      <c r="G3946" s="13">
        <v>11500</v>
      </c>
      <c r="I3946" t="s">
        <v>179</v>
      </c>
      <c r="J3946" t="s">
        <v>961</v>
      </c>
      <c r="K3946" t="s">
        <v>180</v>
      </c>
      <c r="L3946">
        <v>200089239</v>
      </c>
    </row>
    <row r="3947" spans="3:12">
      <c r="C3947">
        <v>2100300025</v>
      </c>
      <c r="D3947">
        <v>6426000</v>
      </c>
      <c r="E3947" t="s">
        <v>188</v>
      </c>
      <c r="F3947">
        <v>5210010105</v>
      </c>
      <c r="G3947" s="13">
        <v>44298</v>
      </c>
      <c r="I3947" t="s">
        <v>179</v>
      </c>
      <c r="J3947" t="s">
        <v>961</v>
      </c>
      <c r="K3947" t="s">
        <v>180</v>
      </c>
      <c r="L3947">
        <v>200083393</v>
      </c>
    </row>
    <row r="3948" spans="3:12">
      <c r="C3948">
        <v>2100300025</v>
      </c>
      <c r="D3948">
        <v>6426000</v>
      </c>
      <c r="E3948" t="s">
        <v>188</v>
      </c>
      <c r="F3948">
        <v>5210010105</v>
      </c>
      <c r="G3948" s="13">
        <v>4088.54</v>
      </c>
      <c r="I3948" t="s">
        <v>179</v>
      </c>
      <c r="J3948" t="s">
        <v>961</v>
      </c>
      <c r="K3948" t="s">
        <v>180</v>
      </c>
      <c r="L3948">
        <v>200089341</v>
      </c>
    </row>
    <row r="3949" spans="3:12">
      <c r="C3949">
        <v>2100300025</v>
      </c>
      <c r="D3949">
        <v>6426000</v>
      </c>
      <c r="E3949" t="s">
        <v>188</v>
      </c>
      <c r="F3949">
        <v>5210010105</v>
      </c>
      <c r="G3949" s="13">
        <v>480000</v>
      </c>
      <c r="I3949" t="s">
        <v>179</v>
      </c>
      <c r="J3949" t="s">
        <v>962</v>
      </c>
      <c r="K3949" t="s">
        <v>180</v>
      </c>
      <c r="L3949">
        <v>200098474</v>
      </c>
    </row>
    <row r="3950" spans="3:12">
      <c r="C3950">
        <v>2100300025</v>
      </c>
      <c r="D3950">
        <v>6426000</v>
      </c>
      <c r="E3950" t="s">
        <v>188</v>
      </c>
      <c r="F3950">
        <v>5210010105</v>
      </c>
      <c r="G3950" s="13">
        <v>208992.4</v>
      </c>
      <c r="I3950" t="s">
        <v>179</v>
      </c>
      <c r="J3950" t="s">
        <v>962</v>
      </c>
      <c r="K3950" t="s">
        <v>180</v>
      </c>
      <c r="L3950">
        <v>200097793</v>
      </c>
    </row>
    <row r="3951" spans="3:12">
      <c r="C3951">
        <v>2100300025</v>
      </c>
      <c r="D3951">
        <v>6426000</v>
      </c>
      <c r="E3951" t="s">
        <v>188</v>
      </c>
      <c r="F3951">
        <v>5210010105</v>
      </c>
      <c r="G3951" s="13">
        <v>11626</v>
      </c>
      <c r="I3951" t="s">
        <v>179</v>
      </c>
      <c r="J3951" t="s">
        <v>962</v>
      </c>
      <c r="K3951" t="s">
        <v>180</v>
      </c>
      <c r="L3951">
        <v>200097796</v>
      </c>
    </row>
    <row r="3952" spans="3:12">
      <c r="C3952">
        <v>2100300025</v>
      </c>
      <c r="D3952">
        <v>6426000</v>
      </c>
      <c r="E3952" t="s">
        <v>188</v>
      </c>
      <c r="F3952">
        <v>5210010105</v>
      </c>
      <c r="G3952" s="13">
        <v>25000</v>
      </c>
      <c r="I3952" t="s">
        <v>179</v>
      </c>
      <c r="J3952" t="s">
        <v>962</v>
      </c>
      <c r="K3952" t="s">
        <v>180</v>
      </c>
      <c r="L3952">
        <v>200097797</v>
      </c>
    </row>
    <row r="3953" spans="3:12">
      <c r="C3953">
        <v>2100300025</v>
      </c>
      <c r="D3953">
        <v>6426000</v>
      </c>
      <c r="E3953" t="s">
        <v>188</v>
      </c>
      <c r="F3953">
        <v>5210010105</v>
      </c>
      <c r="G3953" s="13">
        <v>175500</v>
      </c>
      <c r="I3953" t="s">
        <v>179</v>
      </c>
      <c r="J3953" t="s">
        <v>962</v>
      </c>
      <c r="K3953" t="s">
        <v>180</v>
      </c>
      <c r="L3953">
        <v>200097798</v>
      </c>
    </row>
    <row r="3954" spans="3:12">
      <c r="C3954">
        <v>2100300025</v>
      </c>
      <c r="D3954">
        <v>6426000</v>
      </c>
      <c r="E3954" t="s">
        <v>188</v>
      </c>
      <c r="F3954">
        <v>5210010105</v>
      </c>
      <c r="G3954" s="13">
        <v>34800</v>
      </c>
      <c r="I3954" t="s">
        <v>179</v>
      </c>
      <c r="J3954" t="s">
        <v>962</v>
      </c>
      <c r="K3954" t="s">
        <v>180</v>
      </c>
      <c r="L3954">
        <v>200098469</v>
      </c>
    </row>
    <row r="3955" spans="3:12">
      <c r="C3955">
        <v>2100300025</v>
      </c>
      <c r="D3955">
        <v>6426000</v>
      </c>
      <c r="E3955" t="s">
        <v>188</v>
      </c>
      <c r="F3955">
        <v>5210010105</v>
      </c>
      <c r="G3955" s="13">
        <v>7200</v>
      </c>
      <c r="I3955" t="s">
        <v>179</v>
      </c>
      <c r="J3955" t="s">
        <v>963</v>
      </c>
      <c r="K3955" t="s">
        <v>180</v>
      </c>
      <c r="L3955">
        <v>200092709</v>
      </c>
    </row>
    <row r="3956" spans="3:12">
      <c r="C3956">
        <v>2100300025</v>
      </c>
      <c r="D3956">
        <v>6426000</v>
      </c>
      <c r="E3956" t="s">
        <v>188</v>
      </c>
      <c r="F3956">
        <v>5210010105</v>
      </c>
      <c r="G3956" s="13">
        <v>133250</v>
      </c>
      <c r="I3956" t="s">
        <v>179</v>
      </c>
      <c r="J3956" t="s">
        <v>963</v>
      </c>
      <c r="K3956" t="s">
        <v>180</v>
      </c>
      <c r="L3956">
        <v>200092615</v>
      </c>
    </row>
    <row r="3957" spans="3:12">
      <c r="C3957">
        <v>2100300025</v>
      </c>
      <c r="D3957">
        <v>6426000</v>
      </c>
      <c r="E3957" t="s">
        <v>188</v>
      </c>
      <c r="F3957">
        <v>5210010105</v>
      </c>
      <c r="G3957" s="13">
        <v>80250</v>
      </c>
      <c r="I3957" t="s">
        <v>179</v>
      </c>
      <c r="J3957" t="s">
        <v>963</v>
      </c>
      <c r="K3957" t="s">
        <v>180</v>
      </c>
      <c r="L3957">
        <v>200088016</v>
      </c>
    </row>
    <row r="3958" spans="3:12">
      <c r="C3958">
        <v>2100300025</v>
      </c>
      <c r="D3958">
        <v>6426000</v>
      </c>
      <c r="E3958" t="s">
        <v>188</v>
      </c>
      <c r="F3958">
        <v>5210010105</v>
      </c>
      <c r="G3958" s="13">
        <v>6000</v>
      </c>
      <c r="I3958" t="s">
        <v>179</v>
      </c>
      <c r="J3958" t="s">
        <v>963</v>
      </c>
      <c r="K3958" t="s">
        <v>180</v>
      </c>
      <c r="L3958">
        <v>200092616</v>
      </c>
    </row>
    <row r="3959" spans="3:12">
      <c r="C3959">
        <v>2100300025</v>
      </c>
      <c r="D3959">
        <v>6426000</v>
      </c>
      <c r="E3959" t="s">
        <v>188</v>
      </c>
      <c r="F3959">
        <v>5210010105</v>
      </c>
      <c r="G3959" s="13">
        <v>10000</v>
      </c>
      <c r="I3959" t="s">
        <v>179</v>
      </c>
      <c r="J3959" t="s">
        <v>955</v>
      </c>
      <c r="K3959" t="s">
        <v>180</v>
      </c>
      <c r="L3959">
        <v>200086254</v>
      </c>
    </row>
    <row r="3960" spans="3:12">
      <c r="C3960">
        <v>2100300025</v>
      </c>
      <c r="D3960">
        <v>6426000</v>
      </c>
      <c r="E3960" t="s">
        <v>188</v>
      </c>
      <c r="F3960">
        <v>5210010105</v>
      </c>
      <c r="G3960" s="13">
        <v>35650</v>
      </c>
      <c r="I3960" t="s">
        <v>179</v>
      </c>
      <c r="J3960" t="s">
        <v>559</v>
      </c>
      <c r="K3960" t="s">
        <v>180</v>
      </c>
      <c r="L3960">
        <v>200081994</v>
      </c>
    </row>
    <row r="3961" spans="3:12">
      <c r="C3961">
        <v>2100300025</v>
      </c>
      <c r="D3961">
        <v>6426000</v>
      </c>
      <c r="E3961" t="s">
        <v>188</v>
      </c>
      <c r="F3961">
        <v>5210010105</v>
      </c>
      <c r="G3961" s="13">
        <v>131000</v>
      </c>
      <c r="I3961" t="s">
        <v>179</v>
      </c>
      <c r="J3961" t="s">
        <v>962</v>
      </c>
      <c r="K3961" t="s">
        <v>180</v>
      </c>
      <c r="L3961">
        <v>200098466</v>
      </c>
    </row>
    <row r="3962" spans="3:12">
      <c r="C3962">
        <v>2100300025</v>
      </c>
      <c r="D3962">
        <v>6426000</v>
      </c>
      <c r="E3962" t="s">
        <v>188</v>
      </c>
      <c r="F3962">
        <v>5210010105</v>
      </c>
      <c r="G3962" s="13">
        <v>714987</v>
      </c>
      <c r="I3962" t="s">
        <v>179</v>
      </c>
      <c r="J3962" t="s">
        <v>962</v>
      </c>
      <c r="K3962" t="s">
        <v>180</v>
      </c>
      <c r="L3962">
        <v>200097800</v>
      </c>
    </row>
    <row r="3963" spans="3:12">
      <c r="C3963">
        <v>2100300025</v>
      </c>
      <c r="D3963">
        <v>6426000</v>
      </c>
      <c r="E3963" t="s">
        <v>188</v>
      </c>
      <c r="F3963">
        <v>5210010105</v>
      </c>
      <c r="G3963" s="13">
        <v>8560</v>
      </c>
      <c r="I3963" t="s">
        <v>179</v>
      </c>
      <c r="J3963" t="s">
        <v>963</v>
      </c>
      <c r="K3963" t="s">
        <v>180</v>
      </c>
      <c r="L3963">
        <v>200092226</v>
      </c>
    </row>
    <row r="3964" spans="3:12">
      <c r="C3964">
        <v>2100300025</v>
      </c>
      <c r="D3964">
        <v>6426000</v>
      </c>
      <c r="E3964" t="s">
        <v>188</v>
      </c>
      <c r="F3964">
        <v>5210010105</v>
      </c>
      <c r="G3964" s="13">
        <v>10200</v>
      </c>
      <c r="I3964" t="s">
        <v>179</v>
      </c>
      <c r="J3964" t="s">
        <v>963</v>
      </c>
      <c r="K3964" t="s">
        <v>180</v>
      </c>
      <c r="L3964">
        <v>200092711</v>
      </c>
    </row>
    <row r="3965" spans="3:12">
      <c r="C3965">
        <v>2100300025</v>
      </c>
      <c r="D3965">
        <v>6426000</v>
      </c>
      <c r="E3965" t="s">
        <v>188</v>
      </c>
      <c r="F3965">
        <v>5210010105</v>
      </c>
      <c r="G3965" s="13">
        <v>4000</v>
      </c>
      <c r="I3965" t="s">
        <v>179</v>
      </c>
      <c r="J3965" t="s">
        <v>963</v>
      </c>
      <c r="K3965" t="s">
        <v>180</v>
      </c>
      <c r="L3965">
        <v>200092617</v>
      </c>
    </row>
    <row r="3966" spans="3:12">
      <c r="C3966">
        <v>2100300025</v>
      </c>
      <c r="D3966">
        <v>6426000</v>
      </c>
      <c r="E3966" t="s">
        <v>188</v>
      </c>
      <c r="F3966">
        <v>5210010105</v>
      </c>
      <c r="G3966" s="13">
        <v>3000</v>
      </c>
      <c r="I3966" t="s">
        <v>179</v>
      </c>
      <c r="J3966" t="s">
        <v>852</v>
      </c>
      <c r="K3966" t="s">
        <v>180</v>
      </c>
      <c r="L3966">
        <v>200091781</v>
      </c>
    </row>
    <row r="3967" spans="3:12">
      <c r="C3967">
        <v>2100300025</v>
      </c>
      <c r="D3967">
        <v>6426000</v>
      </c>
      <c r="E3967" t="s">
        <v>188</v>
      </c>
      <c r="F3967">
        <v>5210010105</v>
      </c>
      <c r="G3967" s="13">
        <v>4000</v>
      </c>
      <c r="I3967" t="s">
        <v>179</v>
      </c>
      <c r="J3967" t="s">
        <v>852</v>
      </c>
      <c r="K3967" t="s">
        <v>180</v>
      </c>
      <c r="L3967">
        <v>200092070</v>
      </c>
    </row>
    <row r="3968" spans="3:12">
      <c r="C3968">
        <v>2100300025</v>
      </c>
      <c r="D3968">
        <v>6426000</v>
      </c>
      <c r="E3968" t="s">
        <v>188</v>
      </c>
      <c r="F3968">
        <v>5210010105</v>
      </c>
      <c r="G3968">
        <v>360</v>
      </c>
      <c r="I3968" t="s">
        <v>179</v>
      </c>
      <c r="J3968" t="s">
        <v>964</v>
      </c>
      <c r="K3968" t="s">
        <v>180</v>
      </c>
      <c r="L3968">
        <v>200097763</v>
      </c>
    </row>
    <row r="3969" spans="3:12">
      <c r="C3969">
        <v>2100300025</v>
      </c>
      <c r="D3969">
        <v>6426000</v>
      </c>
      <c r="E3969" t="s">
        <v>188</v>
      </c>
      <c r="F3969">
        <v>5210010105</v>
      </c>
      <c r="G3969" s="13">
        <v>1682.04</v>
      </c>
      <c r="I3969" t="s">
        <v>179</v>
      </c>
      <c r="J3969" t="s">
        <v>964</v>
      </c>
      <c r="K3969" t="s">
        <v>180</v>
      </c>
      <c r="L3969">
        <v>200097764</v>
      </c>
    </row>
    <row r="3970" spans="3:12">
      <c r="C3970">
        <v>2100300025</v>
      </c>
      <c r="D3970">
        <v>6426000</v>
      </c>
      <c r="E3970" t="s">
        <v>188</v>
      </c>
      <c r="F3970">
        <v>5210010105</v>
      </c>
      <c r="G3970" s="13">
        <v>3000</v>
      </c>
      <c r="I3970" t="s">
        <v>179</v>
      </c>
      <c r="J3970" t="s">
        <v>853</v>
      </c>
      <c r="K3970" t="s">
        <v>180</v>
      </c>
      <c r="L3970">
        <v>200092005</v>
      </c>
    </row>
    <row r="3971" spans="3:12">
      <c r="C3971">
        <v>2100300025</v>
      </c>
      <c r="D3971">
        <v>6426000</v>
      </c>
      <c r="E3971" t="s">
        <v>188</v>
      </c>
      <c r="F3971">
        <v>5210010105</v>
      </c>
      <c r="G3971">
        <v>800</v>
      </c>
      <c r="I3971" t="s">
        <v>179</v>
      </c>
      <c r="J3971" t="s">
        <v>853</v>
      </c>
      <c r="K3971" t="s">
        <v>180</v>
      </c>
      <c r="L3971">
        <v>200090487</v>
      </c>
    </row>
    <row r="3972" spans="3:12">
      <c r="C3972">
        <v>2100300025</v>
      </c>
      <c r="D3972">
        <v>6426000</v>
      </c>
      <c r="E3972" t="s">
        <v>188</v>
      </c>
      <c r="F3972">
        <v>5210010105</v>
      </c>
      <c r="G3972">
        <v>750</v>
      </c>
      <c r="I3972" t="s">
        <v>179</v>
      </c>
      <c r="J3972" t="s">
        <v>853</v>
      </c>
      <c r="K3972" t="s">
        <v>180</v>
      </c>
      <c r="L3972">
        <v>200092006</v>
      </c>
    </row>
    <row r="3973" spans="3:12">
      <c r="C3973">
        <v>2100300025</v>
      </c>
      <c r="D3973">
        <v>6426000</v>
      </c>
      <c r="E3973" t="s">
        <v>188</v>
      </c>
      <c r="F3973">
        <v>5210010105</v>
      </c>
      <c r="G3973" s="13">
        <v>13600</v>
      </c>
      <c r="I3973" t="s">
        <v>179</v>
      </c>
      <c r="J3973" t="s">
        <v>854</v>
      </c>
      <c r="K3973" t="s">
        <v>180</v>
      </c>
      <c r="L3973">
        <v>200096831</v>
      </c>
    </row>
    <row r="3974" spans="3:12">
      <c r="C3974">
        <v>2100300025</v>
      </c>
      <c r="D3974">
        <v>6426000</v>
      </c>
      <c r="E3974" t="s">
        <v>188</v>
      </c>
      <c r="F3974">
        <v>5210010105</v>
      </c>
      <c r="G3974">
        <v>321</v>
      </c>
      <c r="I3974" t="s">
        <v>179</v>
      </c>
      <c r="J3974" t="s">
        <v>855</v>
      </c>
      <c r="K3974" t="s">
        <v>180</v>
      </c>
      <c r="L3974">
        <v>200091707</v>
      </c>
    </row>
    <row r="3975" spans="3:12">
      <c r="C3975">
        <v>2100300025</v>
      </c>
      <c r="D3975">
        <v>6426000</v>
      </c>
      <c r="E3975" t="s">
        <v>188</v>
      </c>
      <c r="F3975">
        <v>5210010105</v>
      </c>
      <c r="G3975" s="13">
        <v>1000</v>
      </c>
      <c r="I3975" t="s">
        <v>179</v>
      </c>
      <c r="J3975" t="s">
        <v>855</v>
      </c>
      <c r="K3975" t="s">
        <v>180</v>
      </c>
      <c r="L3975">
        <v>200091708</v>
      </c>
    </row>
    <row r="3976" spans="3:12">
      <c r="C3976">
        <v>2100300025</v>
      </c>
      <c r="D3976">
        <v>6426000</v>
      </c>
      <c r="E3976" t="s">
        <v>188</v>
      </c>
      <c r="F3976">
        <v>5210010105</v>
      </c>
      <c r="G3976" s="13">
        <v>58800</v>
      </c>
      <c r="I3976" t="s">
        <v>179</v>
      </c>
      <c r="J3976" t="s">
        <v>855</v>
      </c>
      <c r="K3976" t="s">
        <v>180</v>
      </c>
      <c r="L3976">
        <v>200091709</v>
      </c>
    </row>
    <row r="3977" spans="3:12">
      <c r="C3977">
        <v>2100300025</v>
      </c>
      <c r="D3977">
        <v>6426000</v>
      </c>
      <c r="E3977" t="s">
        <v>188</v>
      </c>
      <c r="F3977">
        <v>5210010105</v>
      </c>
      <c r="G3977">
        <v>375</v>
      </c>
      <c r="I3977" t="s">
        <v>179</v>
      </c>
      <c r="J3977" t="s">
        <v>855</v>
      </c>
      <c r="K3977" t="s">
        <v>180</v>
      </c>
      <c r="L3977">
        <v>200091710</v>
      </c>
    </row>
    <row r="3978" spans="3:12">
      <c r="C3978">
        <v>2100300025</v>
      </c>
      <c r="D3978">
        <v>6426000</v>
      </c>
      <c r="E3978" t="s">
        <v>188</v>
      </c>
      <c r="F3978">
        <v>5210010105</v>
      </c>
      <c r="G3978" s="13">
        <v>109800</v>
      </c>
      <c r="I3978" t="s">
        <v>179</v>
      </c>
      <c r="J3978" t="s">
        <v>855</v>
      </c>
      <c r="K3978" t="s">
        <v>180</v>
      </c>
      <c r="L3978">
        <v>200091035</v>
      </c>
    </row>
    <row r="3979" spans="3:12">
      <c r="C3979">
        <v>2100300025</v>
      </c>
      <c r="D3979">
        <v>6426000</v>
      </c>
      <c r="E3979" t="s">
        <v>188</v>
      </c>
      <c r="F3979">
        <v>5210010105</v>
      </c>
      <c r="G3979" s="13">
        <v>1605</v>
      </c>
      <c r="I3979" t="s">
        <v>179</v>
      </c>
      <c r="J3979" t="s">
        <v>855</v>
      </c>
      <c r="K3979" t="s">
        <v>180</v>
      </c>
      <c r="L3979">
        <v>200091036</v>
      </c>
    </row>
    <row r="3980" spans="3:12">
      <c r="C3980">
        <v>2100300025</v>
      </c>
      <c r="D3980">
        <v>6426000</v>
      </c>
      <c r="E3980" t="s">
        <v>188</v>
      </c>
      <c r="F3980">
        <v>5210010105</v>
      </c>
      <c r="G3980" s="13">
        <v>4460</v>
      </c>
      <c r="I3980" t="s">
        <v>179</v>
      </c>
      <c r="J3980" t="s">
        <v>855</v>
      </c>
      <c r="K3980" t="s">
        <v>180</v>
      </c>
      <c r="L3980">
        <v>200091037</v>
      </c>
    </row>
    <row r="3981" spans="3:12">
      <c r="C3981">
        <v>2100300025</v>
      </c>
      <c r="D3981">
        <v>6426000</v>
      </c>
      <c r="E3981" t="s">
        <v>188</v>
      </c>
      <c r="F3981">
        <v>5210010105</v>
      </c>
      <c r="G3981" s="13">
        <v>4950</v>
      </c>
      <c r="I3981" t="s">
        <v>179</v>
      </c>
      <c r="J3981" t="s">
        <v>855</v>
      </c>
      <c r="K3981" t="s">
        <v>180</v>
      </c>
      <c r="L3981">
        <v>200091038</v>
      </c>
    </row>
    <row r="3982" spans="3:12">
      <c r="C3982">
        <v>2100300025</v>
      </c>
      <c r="D3982">
        <v>6426000</v>
      </c>
      <c r="E3982" t="s">
        <v>188</v>
      </c>
      <c r="F3982">
        <v>5210010105</v>
      </c>
      <c r="G3982" s="13">
        <v>1000</v>
      </c>
      <c r="I3982" t="s">
        <v>179</v>
      </c>
      <c r="J3982" t="s">
        <v>855</v>
      </c>
      <c r="K3982" t="s">
        <v>180</v>
      </c>
      <c r="L3982">
        <v>200091039</v>
      </c>
    </row>
    <row r="3983" spans="3:12">
      <c r="C3983">
        <v>2100300025</v>
      </c>
      <c r="D3983">
        <v>6426000</v>
      </c>
      <c r="E3983" t="s">
        <v>188</v>
      </c>
      <c r="F3983">
        <v>5210010105</v>
      </c>
      <c r="G3983" s="13">
        <v>5000</v>
      </c>
      <c r="I3983" t="s">
        <v>179</v>
      </c>
      <c r="J3983" t="s">
        <v>855</v>
      </c>
      <c r="K3983" t="s">
        <v>180</v>
      </c>
      <c r="L3983">
        <v>200074959</v>
      </c>
    </row>
    <row r="3984" spans="3:12">
      <c r="C3984">
        <v>2100300025</v>
      </c>
      <c r="D3984">
        <v>6426000</v>
      </c>
      <c r="E3984" t="s">
        <v>188</v>
      </c>
      <c r="F3984">
        <v>5210010105</v>
      </c>
      <c r="G3984" s="13">
        <v>74840</v>
      </c>
      <c r="I3984" t="s">
        <v>179</v>
      </c>
      <c r="J3984" t="s">
        <v>855</v>
      </c>
      <c r="K3984" t="s">
        <v>180</v>
      </c>
      <c r="L3984">
        <v>200074960</v>
      </c>
    </row>
    <row r="3985" spans="3:12">
      <c r="C3985">
        <v>2100300025</v>
      </c>
      <c r="D3985">
        <v>6426000</v>
      </c>
      <c r="E3985" t="s">
        <v>188</v>
      </c>
      <c r="F3985">
        <v>5210010105</v>
      </c>
      <c r="G3985" s="13">
        <v>32500</v>
      </c>
      <c r="I3985" t="s">
        <v>179</v>
      </c>
      <c r="J3985" t="s">
        <v>855</v>
      </c>
      <c r="K3985" t="s">
        <v>180</v>
      </c>
      <c r="L3985">
        <v>200091406</v>
      </c>
    </row>
    <row r="3986" spans="3:12">
      <c r="C3986">
        <v>2100300025</v>
      </c>
      <c r="D3986">
        <v>6426000</v>
      </c>
      <c r="E3986" t="s">
        <v>188</v>
      </c>
      <c r="F3986">
        <v>5210010105</v>
      </c>
      <c r="G3986" s="13">
        <v>24500</v>
      </c>
      <c r="I3986" t="s">
        <v>179</v>
      </c>
      <c r="J3986" t="s">
        <v>855</v>
      </c>
      <c r="K3986" t="s">
        <v>180</v>
      </c>
      <c r="L3986">
        <v>200091408</v>
      </c>
    </row>
    <row r="3987" spans="3:12">
      <c r="C3987">
        <v>2100300025</v>
      </c>
      <c r="D3987">
        <v>6426000</v>
      </c>
      <c r="E3987" t="s">
        <v>188</v>
      </c>
      <c r="F3987">
        <v>5210010105</v>
      </c>
      <c r="G3987" s="13">
        <v>53500</v>
      </c>
      <c r="I3987" t="s">
        <v>179</v>
      </c>
      <c r="J3987" t="s">
        <v>855</v>
      </c>
      <c r="K3987" t="s">
        <v>180</v>
      </c>
      <c r="L3987">
        <v>200091374</v>
      </c>
    </row>
    <row r="3988" spans="3:12">
      <c r="C3988">
        <v>2100300025</v>
      </c>
      <c r="D3988">
        <v>6426000</v>
      </c>
      <c r="E3988" t="s">
        <v>188</v>
      </c>
      <c r="F3988">
        <v>5210010105</v>
      </c>
      <c r="G3988" s="13">
        <v>1950</v>
      </c>
      <c r="I3988" t="s">
        <v>179</v>
      </c>
      <c r="J3988" t="s">
        <v>855</v>
      </c>
      <c r="K3988" t="s">
        <v>180</v>
      </c>
      <c r="L3988">
        <v>200091411</v>
      </c>
    </row>
    <row r="3989" spans="3:12">
      <c r="C3989">
        <v>2100300025</v>
      </c>
      <c r="D3989">
        <v>6426000</v>
      </c>
      <c r="E3989" t="s">
        <v>188</v>
      </c>
      <c r="F3989">
        <v>5210010105</v>
      </c>
      <c r="G3989" s="13">
        <v>2046</v>
      </c>
      <c r="I3989" t="s">
        <v>179</v>
      </c>
      <c r="J3989" t="s">
        <v>965</v>
      </c>
      <c r="K3989" t="s">
        <v>180</v>
      </c>
      <c r="L3989">
        <v>200094668</v>
      </c>
    </row>
    <row r="3990" spans="3:12">
      <c r="C3990">
        <v>2100300025</v>
      </c>
      <c r="D3990">
        <v>6426000</v>
      </c>
      <c r="E3990" t="s">
        <v>188</v>
      </c>
      <c r="F3990">
        <v>5210010105</v>
      </c>
      <c r="G3990">
        <v>551.04999999999995</v>
      </c>
      <c r="I3990" t="s">
        <v>179</v>
      </c>
      <c r="J3990" t="s">
        <v>965</v>
      </c>
      <c r="K3990" t="s">
        <v>180</v>
      </c>
      <c r="L3990">
        <v>200095057</v>
      </c>
    </row>
    <row r="3991" spans="3:12">
      <c r="C3991">
        <v>2100300025</v>
      </c>
      <c r="D3991">
        <v>6426000</v>
      </c>
      <c r="E3991" t="s">
        <v>188</v>
      </c>
      <c r="F3991">
        <v>5210010105</v>
      </c>
      <c r="G3991" s="13">
        <v>21912</v>
      </c>
      <c r="I3991" t="s">
        <v>179</v>
      </c>
      <c r="J3991" t="s">
        <v>965</v>
      </c>
      <c r="K3991" t="s">
        <v>180</v>
      </c>
      <c r="L3991">
        <v>200094963</v>
      </c>
    </row>
    <row r="3992" spans="3:12">
      <c r="C3992">
        <v>2100300025</v>
      </c>
      <c r="D3992">
        <v>6426000</v>
      </c>
      <c r="E3992" t="s">
        <v>188</v>
      </c>
      <c r="F3992">
        <v>5210010105</v>
      </c>
      <c r="G3992">
        <v>130</v>
      </c>
      <c r="I3992" t="s">
        <v>179</v>
      </c>
      <c r="J3992" t="s">
        <v>965</v>
      </c>
      <c r="K3992" t="s">
        <v>180</v>
      </c>
      <c r="L3992">
        <v>200095024</v>
      </c>
    </row>
    <row r="3993" spans="3:12">
      <c r="C3993">
        <v>2100300025</v>
      </c>
      <c r="D3993">
        <v>6426000</v>
      </c>
      <c r="E3993" t="s">
        <v>188</v>
      </c>
      <c r="F3993">
        <v>5210010105</v>
      </c>
      <c r="G3993" s="13">
        <v>3840</v>
      </c>
      <c r="I3993" t="s">
        <v>179</v>
      </c>
      <c r="J3993" t="s">
        <v>965</v>
      </c>
      <c r="K3993" t="s">
        <v>180</v>
      </c>
      <c r="L3993">
        <v>200095025</v>
      </c>
    </row>
    <row r="3994" spans="3:12">
      <c r="C3994">
        <v>2100300025</v>
      </c>
      <c r="D3994">
        <v>6426000</v>
      </c>
      <c r="E3994" t="s">
        <v>188</v>
      </c>
      <c r="F3994">
        <v>5210010105</v>
      </c>
      <c r="G3994" s="13">
        <v>111000</v>
      </c>
      <c r="I3994" t="s">
        <v>179</v>
      </c>
      <c r="J3994" t="s">
        <v>965</v>
      </c>
      <c r="K3994" t="s">
        <v>180</v>
      </c>
      <c r="L3994">
        <v>200094656</v>
      </c>
    </row>
    <row r="3995" spans="3:12">
      <c r="C3995">
        <v>2100300025</v>
      </c>
      <c r="D3995">
        <v>6426000</v>
      </c>
      <c r="E3995" t="s">
        <v>188</v>
      </c>
      <c r="F3995">
        <v>5210010105</v>
      </c>
      <c r="G3995" s="13">
        <v>32500</v>
      </c>
      <c r="I3995" t="s">
        <v>179</v>
      </c>
      <c r="J3995" t="s">
        <v>965</v>
      </c>
      <c r="K3995" t="s">
        <v>180</v>
      </c>
      <c r="L3995">
        <v>200094964</v>
      </c>
    </row>
    <row r="3996" spans="3:12">
      <c r="C3996">
        <v>2100300025</v>
      </c>
      <c r="D3996">
        <v>6426000</v>
      </c>
      <c r="E3996" t="s">
        <v>188</v>
      </c>
      <c r="F3996">
        <v>5210010105</v>
      </c>
      <c r="G3996" s="13">
        <v>2675</v>
      </c>
      <c r="I3996" t="s">
        <v>179</v>
      </c>
      <c r="J3996" t="s">
        <v>966</v>
      </c>
      <c r="K3996" t="s">
        <v>180</v>
      </c>
      <c r="L3996">
        <v>200090029</v>
      </c>
    </row>
    <row r="3997" spans="3:12">
      <c r="C3997">
        <v>2100300025</v>
      </c>
      <c r="D3997">
        <v>6426000</v>
      </c>
      <c r="E3997" t="s">
        <v>188</v>
      </c>
      <c r="F3997">
        <v>5210010105</v>
      </c>
      <c r="G3997" s="13">
        <v>8822.2900000000009</v>
      </c>
      <c r="I3997" t="s">
        <v>179</v>
      </c>
      <c r="J3997" t="s">
        <v>966</v>
      </c>
      <c r="K3997" t="s">
        <v>180</v>
      </c>
      <c r="L3997">
        <v>200090933</v>
      </c>
    </row>
    <row r="3998" spans="3:12">
      <c r="C3998">
        <v>2100300025</v>
      </c>
      <c r="D3998">
        <v>6426000</v>
      </c>
      <c r="E3998" t="s">
        <v>188</v>
      </c>
      <c r="F3998">
        <v>5210010105</v>
      </c>
      <c r="G3998" s="13">
        <v>698779.83</v>
      </c>
      <c r="I3998" t="s">
        <v>179</v>
      </c>
      <c r="J3998" t="s">
        <v>966</v>
      </c>
      <c r="K3998" t="s">
        <v>180</v>
      </c>
      <c r="L3998">
        <v>200058927</v>
      </c>
    </row>
    <row r="3999" spans="3:12">
      <c r="C3999">
        <v>2100300025</v>
      </c>
      <c r="D3999">
        <v>6426000</v>
      </c>
      <c r="E3999" t="s">
        <v>188</v>
      </c>
      <c r="F3999">
        <v>5210010105</v>
      </c>
      <c r="G3999" s="13">
        <v>69935.839999999997</v>
      </c>
      <c r="I3999" t="s">
        <v>179</v>
      </c>
      <c r="J3999" t="s">
        <v>966</v>
      </c>
      <c r="K3999" t="s">
        <v>180</v>
      </c>
      <c r="L3999">
        <v>200091008</v>
      </c>
    </row>
    <row r="4000" spans="3:12">
      <c r="C4000">
        <v>2100300025</v>
      </c>
      <c r="D4000">
        <v>6426000</v>
      </c>
      <c r="E4000" t="s">
        <v>188</v>
      </c>
      <c r="F4000">
        <v>5210010105</v>
      </c>
      <c r="G4000" s="13">
        <v>20000</v>
      </c>
      <c r="I4000" t="s">
        <v>179</v>
      </c>
      <c r="J4000" t="s">
        <v>966</v>
      </c>
      <c r="K4000" t="s">
        <v>180</v>
      </c>
      <c r="L4000">
        <v>200091009</v>
      </c>
    </row>
    <row r="4001" spans="3:12">
      <c r="C4001">
        <v>2100300025</v>
      </c>
      <c r="D4001">
        <v>6426000</v>
      </c>
      <c r="E4001" t="s">
        <v>188</v>
      </c>
      <c r="F4001">
        <v>5210010105</v>
      </c>
      <c r="G4001">
        <v>800</v>
      </c>
      <c r="I4001" t="s">
        <v>179</v>
      </c>
      <c r="J4001" t="s">
        <v>966</v>
      </c>
      <c r="K4001" t="s">
        <v>180</v>
      </c>
      <c r="L4001">
        <v>200091010</v>
      </c>
    </row>
    <row r="4002" spans="3:12">
      <c r="C4002">
        <v>2100300025</v>
      </c>
      <c r="D4002">
        <v>6426000</v>
      </c>
      <c r="E4002" t="s">
        <v>188</v>
      </c>
      <c r="F4002">
        <v>5210010105</v>
      </c>
      <c r="G4002" s="13">
        <v>9594.9</v>
      </c>
      <c r="I4002" t="s">
        <v>179</v>
      </c>
      <c r="J4002" t="s">
        <v>966</v>
      </c>
      <c r="K4002" t="s">
        <v>180</v>
      </c>
      <c r="L4002">
        <v>200091011</v>
      </c>
    </row>
    <row r="4003" spans="3:12">
      <c r="C4003">
        <v>2100300025</v>
      </c>
      <c r="D4003">
        <v>6426000</v>
      </c>
      <c r="E4003" t="s">
        <v>188</v>
      </c>
      <c r="F4003">
        <v>5210010105</v>
      </c>
      <c r="G4003" s="13">
        <v>2642</v>
      </c>
      <c r="I4003" t="s">
        <v>179</v>
      </c>
      <c r="J4003" t="s">
        <v>966</v>
      </c>
      <c r="K4003" t="s">
        <v>180</v>
      </c>
      <c r="L4003">
        <v>200091012</v>
      </c>
    </row>
    <row r="4004" spans="3:12">
      <c r="C4004">
        <v>2100300025</v>
      </c>
      <c r="D4004">
        <v>6426000</v>
      </c>
      <c r="E4004" t="s">
        <v>188</v>
      </c>
      <c r="F4004">
        <v>5210010105</v>
      </c>
      <c r="G4004" s="13">
        <v>3000</v>
      </c>
      <c r="I4004" t="s">
        <v>179</v>
      </c>
      <c r="J4004" t="s">
        <v>967</v>
      </c>
      <c r="K4004" t="s">
        <v>180</v>
      </c>
      <c r="L4004">
        <v>200102668</v>
      </c>
    </row>
    <row r="4005" spans="3:12">
      <c r="C4005">
        <v>2100300025</v>
      </c>
      <c r="D4005">
        <v>6426000</v>
      </c>
      <c r="E4005" t="s">
        <v>188</v>
      </c>
      <c r="F4005">
        <v>5210010105</v>
      </c>
      <c r="G4005" s="13">
        <v>4000</v>
      </c>
      <c r="I4005" t="s">
        <v>179</v>
      </c>
      <c r="J4005" t="s">
        <v>967</v>
      </c>
      <c r="K4005" t="s">
        <v>180</v>
      </c>
      <c r="L4005">
        <v>200103478</v>
      </c>
    </row>
    <row r="4006" spans="3:12">
      <c r="C4006">
        <v>2100300025</v>
      </c>
      <c r="D4006">
        <v>6426000</v>
      </c>
      <c r="E4006" t="s">
        <v>188</v>
      </c>
      <c r="F4006">
        <v>5210010105</v>
      </c>
      <c r="G4006" s="13">
        <v>4697</v>
      </c>
      <c r="I4006" t="s">
        <v>179</v>
      </c>
      <c r="J4006" t="s">
        <v>967</v>
      </c>
      <c r="K4006" t="s">
        <v>180</v>
      </c>
      <c r="L4006">
        <v>200102915</v>
      </c>
    </row>
    <row r="4007" spans="3:12">
      <c r="C4007">
        <v>2100300025</v>
      </c>
      <c r="D4007">
        <v>6426000</v>
      </c>
      <c r="E4007" t="s">
        <v>188</v>
      </c>
      <c r="F4007">
        <v>5210010105</v>
      </c>
      <c r="G4007" s="13">
        <v>7883.14</v>
      </c>
      <c r="I4007" t="s">
        <v>179</v>
      </c>
      <c r="J4007" t="s">
        <v>967</v>
      </c>
      <c r="K4007" t="s">
        <v>180</v>
      </c>
      <c r="L4007">
        <v>200103479</v>
      </c>
    </row>
    <row r="4008" spans="3:12">
      <c r="C4008">
        <v>2100300025</v>
      </c>
      <c r="D4008">
        <v>6426000</v>
      </c>
      <c r="E4008" t="s">
        <v>188</v>
      </c>
      <c r="F4008">
        <v>5210010105</v>
      </c>
      <c r="G4008" s="13">
        <v>20301</v>
      </c>
      <c r="I4008" t="s">
        <v>179</v>
      </c>
      <c r="J4008" t="s">
        <v>967</v>
      </c>
      <c r="K4008" t="s">
        <v>180</v>
      </c>
      <c r="L4008">
        <v>200103483</v>
      </c>
    </row>
    <row r="4009" spans="3:12">
      <c r="C4009">
        <v>2100300025</v>
      </c>
      <c r="D4009">
        <v>6426000</v>
      </c>
      <c r="E4009" t="s">
        <v>188</v>
      </c>
      <c r="F4009">
        <v>5210010105</v>
      </c>
      <c r="G4009" s="13">
        <v>728676.98</v>
      </c>
      <c r="I4009" t="s">
        <v>179</v>
      </c>
      <c r="J4009" t="s">
        <v>967</v>
      </c>
      <c r="K4009" t="s">
        <v>180</v>
      </c>
      <c r="L4009">
        <v>200103484</v>
      </c>
    </row>
    <row r="4010" spans="3:12">
      <c r="C4010">
        <v>2100300025</v>
      </c>
      <c r="D4010">
        <v>6426000</v>
      </c>
      <c r="E4010" t="s">
        <v>188</v>
      </c>
      <c r="F4010">
        <v>5210010105</v>
      </c>
      <c r="G4010">
        <v>660.95</v>
      </c>
      <c r="I4010" t="s">
        <v>179</v>
      </c>
      <c r="J4010" t="s">
        <v>967</v>
      </c>
      <c r="K4010" t="s">
        <v>180</v>
      </c>
      <c r="L4010">
        <v>200102918</v>
      </c>
    </row>
    <row r="4011" spans="3:12">
      <c r="C4011">
        <v>2100300025</v>
      </c>
      <c r="D4011">
        <v>6426000</v>
      </c>
      <c r="E4011" t="s">
        <v>188</v>
      </c>
      <c r="F4011">
        <v>5210010105</v>
      </c>
      <c r="G4011" s="13">
        <v>35000</v>
      </c>
      <c r="I4011" t="s">
        <v>179</v>
      </c>
      <c r="J4011" t="s">
        <v>967</v>
      </c>
      <c r="K4011" t="s">
        <v>180</v>
      </c>
      <c r="L4011">
        <v>200102676</v>
      </c>
    </row>
    <row r="4012" spans="3:12">
      <c r="C4012">
        <v>2100300025</v>
      </c>
      <c r="D4012">
        <v>6426000</v>
      </c>
      <c r="E4012" t="s">
        <v>188</v>
      </c>
      <c r="F4012">
        <v>5210010105</v>
      </c>
      <c r="G4012" s="13">
        <v>3000</v>
      </c>
      <c r="I4012" t="s">
        <v>179</v>
      </c>
      <c r="J4012" t="s">
        <v>967</v>
      </c>
      <c r="K4012" t="s">
        <v>180</v>
      </c>
      <c r="L4012">
        <v>200102678</v>
      </c>
    </row>
    <row r="4013" spans="3:12">
      <c r="C4013">
        <v>2100300025</v>
      </c>
      <c r="D4013">
        <v>6426000</v>
      </c>
      <c r="E4013" t="s">
        <v>188</v>
      </c>
      <c r="F4013">
        <v>5210010105</v>
      </c>
      <c r="G4013" s="13">
        <v>3300</v>
      </c>
      <c r="I4013" t="s">
        <v>179</v>
      </c>
      <c r="J4013" t="s">
        <v>566</v>
      </c>
      <c r="K4013" t="s">
        <v>180</v>
      </c>
      <c r="L4013">
        <v>200102448</v>
      </c>
    </row>
    <row r="4014" spans="3:12">
      <c r="C4014">
        <v>2100300025</v>
      </c>
      <c r="D4014">
        <v>6426000</v>
      </c>
      <c r="E4014" t="s">
        <v>188</v>
      </c>
      <c r="F4014">
        <v>5210010105</v>
      </c>
      <c r="G4014" s="13">
        <v>45990.74</v>
      </c>
      <c r="I4014" t="s">
        <v>179</v>
      </c>
      <c r="J4014" t="s">
        <v>963</v>
      </c>
      <c r="K4014" t="s">
        <v>180</v>
      </c>
      <c r="L4014">
        <v>200092320</v>
      </c>
    </row>
    <row r="4015" spans="3:12">
      <c r="C4015">
        <v>2100300025</v>
      </c>
      <c r="D4015">
        <v>6426000</v>
      </c>
      <c r="E4015" t="s">
        <v>188</v>
      </c>
      <c r="F4015">
        <v>5210010105</v>
      </c>
      <c r="G4015" s="13">
        <v>2200</v>
      </c>
      <c r="I4015" t="s">
        <v>179</v>
      </c>
      <c r="J4015" t="s">
        <v>955</v>
      </c>
      <c r="K4015" t="s">
        <v>180</v>
      </c>
      <c r="L4015">
        <v>200086910</v>
      </c>
    </row>
    <row r="4016" spans="3:12">
      <c r="C4016">
        <v>2100300025</v>
      </c>
      <c r="D4016">
        <v>6426000</v>
      </c>
      <c r="E4016" t="s">
        <v>188</v>
      </c>
      <c r="F4016">
        <v>5210010105</v>
      </c>
      <c r="G4016" s="13">
        <v>2255</v>
      </c>
      <c r="I4016" t="s">
        <v>179</v>
      </c>
      <c r="J4016" t="s">
        <v>955</v>
      </c>
      <c r="K4016" t="s">
        <v>180</v>
      </c>
      <c r="L4016">
        <v>200086911</v>
      </c>
    </row>
    <row r="4017" spans="3:12">
      <c r="C4017">
        <v>2100300025</v>
      </c>
      <c r="D4017">
        <v>6426000</v>
      </c>
      <c r="E4017" t="s">
        <v>188</v>
      </c>
      <c r="F4017">
        <v>5210010105</v>
      </c>
      <c r="G4017" s="13">
        <v>2354</v>
      </c>
      <c r="I4017" t="s">
        <v>179</v>
      </c>
      <c r="J4017" t="s">
        <v>955</v>
      </c>
      <c r="K4017" t="s">
        <v>180</v>
      </c>
      <c r="L4017">
        <v>200086290</v>
      </c>
    </row>
    <row r="4018" spans="3:12">
      <c r="C4018">
        <v>2100300025</v>
      </c>
      <c r="D4018">
        <v>6426000</v>
      </c>
      <c r="E4018" t="s">
        <v>188</v>
      </c>
      <c r="F4018">
        <v>5210010105</v>
      </c>
      <c r="G4018" s="13">
        <v>4450</v>
      </c>
      <c r="I4018" t="s">
        <v>179</v>
      </c>
      <c r="J4018" t="s">
        <v>955</v>
      </c>
      <c r="K4018" t="s">
        <v>180</v>
      </c>
      <c r="L4018">
        <v>200086292</v>
      </c>
    </row>
    <row r="4019" spans="3:12">
      <c r="C4019">
        <v>2100300025</v>
      </c>
      <c r="D4019">
        <v>6426000</v>
      </c>
      <c r="E4019" t="s">
        <v>188</v>
      </c>
      <c r="F4019">
        <v>5210010105</v>
      </c>
      <c r="G4019" s="13">
        <v>2100</v>
      </c>
      <c r="I4019" t="s">
        <v>179</v>
      </c>
      <c r="J4019" t="s">
        <v>955</v>
      </c>
      <c r="K4019" t="s">
        <v>180</v>
      </c>
      <c r="L4019">
        <v>200086618</v>
      </c>
    </row>
    <row r="4020" spans="3:12">
      <c r="C4020">
        <v>2100300025</v>
      </c>
      <c r="D4020">
        <v>6426000</v>
      </c>
      <c r="E4020" t="s">
        <v>188</v>
      </c>
      <c r="F4020">
        <v>5210010105</v>
      </c>
      <c r="G4020" s="13">
        <v>12283.6</v>
      </c>
      <c r="I4020" t="s">
        <v>179</v>
      </c>
      <c r="J4020" t="s">
        <v>954</v>
      </c>
      <c r="K4020" t="s">
        <v>180</v>
      </c>
      <c r="L4020">
        <v>200077158</v>
      </c>
    </row>
    <row r="4021" spans="3:12">
      <c r="C4021">
        <v>2100300025</v>
      </c>
      <c r="D4021">
        <v>6426000</v>
      </c>
      <c r="E4021" t="s">
        <v>188</v>
      </c>
      <c r="F4021">
        <v>5210010105</v>
      </c>
      <c r="G4021" s="13">
        <v>15200</v>
      </c>
      <c r="I4021" t="s">
        <v>179</v>
      </c>
      <c r="J4021" t="s">
        <v>955</v>
      </c>
      <c r="K4021" t="s">
        <v>180</v>
      </c>
      <c r="L4021">
        <v>200085899</v>
      </c>
    </row>
    <row r="4022" spans="3:12">
      <c r="C4022">
        <v>2100300025</v>
      </c>
      <c r="D4022">
        <v>6426000</v>
      </c>
      <c r="E4022" t="s">
        <v>188</v>
      </c>
      <c r="F4022">
        <v>5210010105</v>
      </c>
      <c r="G4022" s="13">
        <v>9520</v>
      </c>
      <c r="I4022" t="s">
        <v>179</v>
      </c>
      <c r="J4022" t="s">
        <v>955</v>
      </c>
      <c r="K4022" t="s">
        <v>180</v>
      </c>
      <c r="L4022">
        <v>200086253</v>
      </c>
    </row>
    <row r="4023" spans="3:12">
      <c r="C4023">
        <v>2100300025</v>
      </c>
      <c r="D4023">
        <v>6426000</v>
      </c>
      <c r="E4023" t="s">
        <v>188</v>
      </c>
      <c r="F4023">
        <v>5210010105</v>
      </c>
      <c r="G4023" s="13">
        <v>1150000</v>
      </c>
      <c r="I4023" t="s">
        <v>179</v>
      </c>
      <c r="J4023" t="s">
        <v>955</v>
      </c>
      <c r="K4023" t="s">
        <v>180</v>
      </c>
      <c r="L4023">
        <v>200086255</v>
      </c>
    </row>
    <row r="4024" spans="3:12">
      <c r="C4024">
        <v>2100300025</v>
      </c>
      <c r="D4024">
        <v>6426000</v>
      </c>
      <c r="E4024" t="s">
        <v>188</v>
      </c>
      <c r="F4024">
        <v>5210010105</v>
      </c>
      <c r="G4024" s="13">
        <v>16200</v>
      </c>
      <c r="I4024" t="s">
        <v>179</v>
      </c>
      <c r="J4024" t="s">
        <v>956</v>
      </c>
      <c r="K4024" t="s">
        <v>180</v>
      </c>
      <c r="L4024">
        <v>200084872</v>
      </c>
    </row>
    <row r="4025" spans="3:12">
      <c r="C4025">
        <v>2100300025</v>
      </c>
      <c r="D4025">
        <v>6426000</v>
      </c>
      <c r="E4025" t="s">
        <v>188</v>
      </c>
      <c r="F4025">
        <v>5210010105</v>
      </c>
      <c r="G4025" s="13">
        <v>12397</v>
      </c>
      <c r="I4025" t="s">
        <v>179</v>
      </c>
      <c r="J4025" t="s">
        <v>956</v>
      </c>
      <c r="K4025" t="s">
        <v>180</v>
      </c>
      <c r="L4025">
        <v>200084778</v>
      </c>
    </row>
    <row r="4026" spans="3:12">
      <c r="C4026">
        <v>2100300025</v>
      </c>
      <c r="D4026">
        <v>6426000</v>
      </c>
      <c r="E4026" t="s">
        <v>188</v>
      </c>
      <c r="F4026">
        <v>5210010105</v>
      </c>
      <c r="G4026" s="13">
        <v>8977</v>
      </c>
      <c r="I4026" t="s">
        <v>179</v>
      </c>
      <c r="J4026" t="s">
        <v>956</v>
      </c>
      <c r="K4026" t="s">
        <v>180</v>
      </c>
      <c r="L4026">
        <v>200084779</v>
      </c>
    </row>
    <row r="4027" spans="3:12">
      <c r="C4027">
        <v>2100300025</v>
      </c>
      <c r="D4027">
        <v>6426000</v>
      </c>
      <c r="E4027" t="s">
        <v>188</v>
      </c>
      <c r="F4027">
        <v>5210010105</v>
      </c>
      <c r="G4027" s="13">
        <v>7665</v>
      </c>
      <c r="I4027" t="s">
        <v>179</v>
      </c>
      <c r="J4027" t="s">
        <v>956</v>
      </c>
      <c r="K4027" t="s">
        <v>180</v>
      </c>
      <c r="L4027">
        <v>200084780</v>
      </c>
    </row>
    <row r="4028" spans="3:12">
      <c r="C4028">
        <v>2100300025</v>
      </c>
      <c r="D4028">
        <v>6426000</v>
      </c>
      <c r="E4028" t="s">
        <v>188</v>
      </c>
      <c r="F4028">
        <v>5210010105</v>
      </c>
      <c r="G4028" s="13">
        <v>633333</v>
      </c>
      <c r="I4028" t="s">
        <v>179</v>
      </c>
      <c r="J4028" t="s">
        <v>956</v>
      </c>
      <c r="K4028" t="s">
        <v>180</v>
      </c>
      <c r="L4028">
        <v>200084873</v>
      </c>
    </row>
    <row r="4029" spans="3:12">
      <c r="C4029">
        <v>2100300025</v>
      </c>
      <c r="D4029">
        <v>6426000</v>
      </c>
      <c r="E4029" t="s">
        <v>188</v>
      </c>
      <c r="F4029">
        <v>5210010105</v>
      </c>
      <c r="G4029" s="13">
        <v>91730</v>
      </c>
      <c r="I4029" t="s">
        <v>179</v>
      </c>
      <c r="J4029" t="s">
        <v>956</v>
      </c>
      <c r="K4029" t="s">
        <v>180</v>
      </c>
      <c r="L4029">
        <v>200084781</v>
      </c>
    </row>
    <row r="4030" spans="3:12">
      <c r="C4030">
        <v>2100300025</v>
      </c>
      <c r="D4030">
        <v>6426000</v>
      </c>
      <c r="E4030" t="s">
        <v>188</v>
      </c>
      <c r="F4030">
        <v>5210010105</v>
      </c>
      <c r="G4030" s="13">
        <v>497500</v>
      </c>
      <c r="I4030" t="s">
        <v>179</v>
      </c>
      <c r="J4030" t="s">
        <v>956</v>
      </c>
      <c r="K4030" t="s">
        <v>180</v>
      </c>
      <c r="L4030">
        <v>200084874</v>
      </c>
    </row>
    <row r="4031" spans="3:12">
      <c r="C4031">
        <v>2100300025</v>
      </c>
      <c r="D4031">
        <v>6426000</v>
      </c>
      <c r="E4031" t="s">
        <v>188</v>
      </c>
      <c r="F4031">
        <v>5210010105</v>
      </c>
      <c r="G4031" s="13">
        <v>24182</v>
      </c>
      <c r="I4031" t="s">
        <v>179</v>
      </c>
      <c r="J4031" t="s">
        <v>956</v>
      </c>
      <c r="K4031" t="s">
        <v>180</v>
      </c>
      <c r="L4031">
        <v>200079452</v>
      </c>
    </row>
    <row r="4032" spans="3:12">
      <c r="C4032">
        <v>2100300025</v>
      </c>
      <c r="D4032">
        <v>6426000</v>
      </c>
      <c r="E4032" t="s">
        <v>188</v>
      </c>
      <c r="F4032">
        <v>5210010105</v>
      </c>
      <c r="G4032" s="13">
        <v>33250</v>
      </c>
      <c r="I4032" t="s">
        <v>179</v>
      </c>
      <c r="J4032" t="s">
        <v>956</v>
      </c>
      <c r="K4032" t="s">
        <v>180</v>
      </c>
      <c r="L4032">
        <v>200084875</v>
      </c>
    </row>
    <row r="4033" spans="3:12">
      <c r="C4033">
        <v>2100300025</v>
      </c>
      <c r="D4033">
        <v>6426000</v>
      </c>
      <c r="E4033" t="s">
        <v>188</v>
      </c>
      <c r="F4033">
        <v>5210010105</v>
      </c>
      <c r="G4033" s="13">
        <v>101400</v>
      </c>
      <c r="I4033" t="s">
        <v>179</v>
      </c>
      <c r="J4033" t="s">
        <v>956</v>
      </c>
      <c r="K4033" t="s">
        <v>180</v>
      </c>
      <c r="L4033">
        <v>200081899</v>
      </c>
    </row>
    <row r="4034" spans="3:12">
      <c r="C4034">
        <v>2100300025</v>
      </c>
      <c r="D4034">
        <v>6426000</v>
      </c>
      <c r="E4034" t="s">
        <v>188</v>
      </c>
      <c r="F4034">
        <v>5210010105</v>
      </c>
      <c r="G4034">
        <v>300</v>
      </c>
      <c r="I4034" t="s">
        <v>179</v>
      </c>
      <c r="J4034" t="s">
        <v>957</v>
      </c>
      <c r="K4034" t="s">
        <v>180</v>
      </c>
      <c r="L4034">
        <v>200085177</v>
      </c>
    </row>
    <row r="4035" spans="3:12">
      <c r="C4035">
        <v>2100300025</v>
      </c>
      <c r="D4035">
        <v>6426000</v>
      </c>
      <c r="E4035" t="s">
        <v>188</v>
      </c>
      <c r="F4035">
        <v>5210010105</v>
      </c>
      <c r="G4035" s="13">
        <v>13300</v>
      </c>
      <c r="I4035" t="s">
        <v>179</v>
      </c>
      <c r="J4035" t="s">
        <v>559</v>
      </c>
      <c r="K4035" t="s">
        <v>180</v>
      </c>
      <c r="L4035">
        <v>200084630</v>
      </c>
    </row>
    <row r="4036" spans="3:12">
      <c r="C4036">
        <v>2100300025</v>
      </c>
      <c r="D4036">
        <v>6426000</v>
      </c>
      <c r="E4036" t="s">
        <v>188</v>
      </c>
      <c r="F4036">
        <v>5210010105</v>
      </c>
      <c r="G4036" s="13">
        <v>50000</v>
      </c>
      <c r="I4036" t="s">
        <v>179</v>
      </c>
      <c r="J4036" t="s">
        <v>559</v>
      </c>
      <c r="K4036" t="s">
        <v>180</v>
      </c>
      <c r="L4036">
        <v>200085033</v>
      </c>
    </row>
    <row r="4037" spans="3:12">
      <c r="C4037">
        <v>2100300025</v>
      </c>
      <c r="D4037">
        <v>6426000</v>
      </c>
      <c r="E4037" t="s">
        <v>188</v>
      </c>
      <c r="F4037">
        <v>5210010105</v>
      </c>
      <c r="G4037" s="13">
        <v>21500</v>
      </c>
      <c r="I4037" t="s">
        <v>179</v>
      </c>
      <c r="J4037" t="s">
        <v>559</v>
      </c>
      <c r="K4037" t="s">
        <v>180</v>
      </c>
      <c r="L4037">
        <v>200085034</v>
      </c>
    </row>
    <row r="4038" spans="3:12">
      <c r="C4038">
        <v>2100300025</v>
      </c>
      <c r="D4038">
        <v>6426000</v>
      </c>
      <c r="E4038" t="s">
        <v>188</v>
      </c>
      <c r="F4038">
        <v>5210010105</v>
      </c>
      <c r="G4038" s="13">
        <v>9095</v>
      </c>
      <c r="I4038" t="s">
        <v>179</v>
      </c>
      <c r="J4038" t="s">
        <v>559</v>
      </c>
      <c r="K4038" t="s">
        <v>180</v>
      </c>
      <c r="L4038">
        <v>200084631</v>
      </c>
    </row>
    <row r="4039" spans="3:12">
      <c r="C4039">
        <v>2100300025</v>
      </c>
      <c r="D4039">
        <v>6426000</v>
      </c>
      <c r="E4039" t="s">
        <v>188</v>
      </c>
      <c r="F4039">
        <v>5210010105</v>
      </c>
      <c r="G4039" s="13">
        <v>6000</v>
      </c>
      <c r="I4039" t="s">
        <v>179</v>
      </c>
      <c r="J4039" t="s">
        <v>559</v>
      </c>
      <c r="K4039" t="s">
        <v>180</v>
      </c>
      <c r="L4039">
        <v>200085035</v>
      </c>
    </row>
    <row r="4040" spans="3:12">
      <c r="C4040">
        <v>2100300025</v>
      </c>
      <c r="D4040">
        <v>6426000</v>
      </c>
      <c r="E4040" t="s">
        <v>188</v>
      </c>
      <c r="F4040">
        <v>5210010105</v>
      </c>
      <c r="G4040" s="13">
        <v>42600</v>
      </c>
      <c r="I4040" t="s">
        <v>179</v>
      </c>
      <c r="J4040" t="s">
        <v>559</v>
      </c>
      <c r="K4040" t="s">
        <v>180</v>
      </c>
      <c r="L4040">
        <v>200084632</v>
      </c>
    </row>
    <row r="4041" spans="3:12">
      <c r="C4041">
        <v>2100300025</v>
      </c>
      <c r="D4041">
        <v>6426000</v>
      </c>
      <c r="E4041" t="s">
        <v>188</v>
      </c>
      <c r="F4041">
        <v>5210010105</v>
      </c>
      <c r="G4041" s="13">
        <v>109000</v>
      </c>
      <c r="I4041" t="s">
        <v>179</v>
      </c>
      <c r="J4041" t="s">
        <v>559</v>
      </c>
      <c r="K4041" t="s">
        <v>180</v>
      </c>
      <c r="L4041">
        <v>200084633</v>
      </c>
    </row>
    <row r="4042" spans="3:12">
      <c r="C4042">
        <v>2100300025</v>
      </c>
      <c r="D4042">
        <v>6426000</v>
      </c>
      <c r="E4042" t="s">
        <v>188</v>
      </c>
      <c r="F4042">
        <v>5210010105</v>
      </c>
      <c r="G4042" s="13">
        <v>1353600</v>
      </c>
      <c r="I4042" t="s">
        <v>179</v>
      </c>
      <c r="J4042" t="s">
        <v>559</v>
      </c>
      <c r="K4042" t="s">
        <v>180</v>
      </c>
      <c r="L4042">
        <v>200084634</v>
      </c>
    </row>
    <row r="4043" spans="3:12">
      <c r="C4043">
        <v>2100300025</v>
      </c>
      <c r="D4043">
        <v>6426000</v>
      </c>
      <c r="E4043" t="s">
        <v>188</v>
      </c>
      <c r="F4043">
        <v>5210010105</v>
      </c>
      <c r="G4043" s="13">
        <v>2266666</v>
      </c>
      <c r="I4043" t="s">
        <v>179</v>
      </c>
      <c r="J4043" t="s">
        <v>559</v>
      </c>
      <c r="K4043" t="s">
        <v>180</v>
      </c>
      <c r="L4043">
        <v>200085036</v>
      </c>
    </row>
    <row r="4044" spans="3:12">
      <c r="C4044">
        <v>2100300025</v>
      </c>
      <c r="D4044">
        <v>6426000</v>
      </c>
      <c r="E4044" t="s">
        <v>188</v>
      </c>
      <c r="F4044">
        <v>5210010105</v>
      </c>
      <c r="G4044" s="13">
        <v>94000</v>
      </c>
      <c r="I4044" t="s">
        <v>179</v>
      </c>
      <c r="J4044" t="s">
        <v>968</v>
      </c>
      <c r="K4044" t="s">
        <v>180</v>
      </c>
      <c r="L4044">
        <v>200093944</v>
      </c>
    </row>
    <row r="4045" spans="3:12">
      <c r="C4045">
        <v>2100300025</v>
      </c>
      <c r="D4045">
        <v>6426000</v>
      </c>
      <c r="E4045" t="s">
        <v>188</v>
      </c>
      <c r="F4045">
        <v>5210010105</v>
      </c>
      <c r="G4045" s="13">
        <v>38423.699999999997</v>
      </c>
      <c r="I4045" t="s">
        <v>179</v>
      </c>
      <c r="J4045" t="s">
        <v>968</v>
      </c>
      <c r="K4045" t="s">
        <v>180</v>
      </c>
      <c r="L4045">
        <v>200093945</v>
      </c>
    </row>
    <row r="4046" spans="3:12">
      <c r="C4046">
        <v>2100300025</v>
      </c>
      <c r="D4046">
        <v>6426000</v>
      </c>
      <c r="E4046" t="s">
        <v>188</v>
      </c>
      <c r="F4046">
        <v>5210010105</v>
      </c>
      <c r="G4046" s="13">
        <v>2247</v>
      </c>
      <c r="I4046" t="s">
        <v>179</v>
      </c>
      <c r="J4046" t="s">
        <v>968</v>
      </c>
      <c r="K4046" t="s">
        <v>180</v>
      </c>
      <c r="L4046">
        <v>200093946</v>
      </c>
    </row>
    <row r="4047" spans="3:12">
      <c r="C4047">
        <v>2100300025</v>
      </c>
      <c r="D4047">
        <v>6426000</v>
      </c>
      <c r="E4047" t="s">
        <v>188</v>
      </c>
      <c r="F4047">
        <v>5210010105</v>
      </c>
      <c r="G4047" s="13">
        <v>1014.36</v>
      </c>
      <c r="I4047" t="s">
        <v>179</v>
      </c>
      <c r="J4047" t="s">
        <v>968</v>
      </c>
      <c r="K4047" t="s">
        <v>180</v>
      </c>
      <c r="L4047">
        <v>200093947</v>
      </c>
    </row>
    <row r="4048" spans="3:12">
      <c r="C4048">
        <v>2100300025</v>
      </c>
      <c r="D4048">
        <v>6426000</v>
      </c>
      <c r="E4048" t="s">
        <v>188</v>
      </c>
      <c r="F4048">
        <v>5210010105</v>
      </c>
      <c r="G4048" s="13">
        <v>10650</v>
      </c>
      <c r="I4048" t="s">
        <v>179</v>
      </c>
      <c r="J4048" t="s">
        <v>968</v>
      </c>
      <c r="K4048" t="s">
        <v>180</v>
      </c>
      <c r="L4048">
        <v>200093828</v>
      </c>
    </row>
    <row r="4049" spans="3:12">
      <c r="C4049">
        <v>2100300025</v>
      </c>
      <c r="D4049">
        <v>6426000</v>
      </c>
      <c r="E4049" t="s">
        <v>188</v>
      </c>
      <c r="F4049">
        <v>5210010105</v>
      </c>
      <c r="G4049" s="13">
        <v>12283.6</v>
      </c>
      <c r="I4049" t="s">
        <v>179</v>
      </c>
      <c r="J4049" t="s">
        <v>968</v>
      </c>
      <c r="K4049" t="s">
        <v>180</v>
      </c>
      <c r="L4049">
        <v>200093948</v>
      </c>
    </row>
    <row r="4050" spans="3:12">
      <c r="C4050">
        <v>2100300025</v>
      </c>
      <c r="D4050">
        <v>6426000</v>
      </c>
      <c r="E4050" t="s">
        <v>188</v>
      </c>
      <c r="F4050">
        <v>5210010105</v>
      </c>
      <c r="G4050" s="13">
        <v>110529.93</v>
      </c>
      <c r="I4050" t="s">
        <v>179</v>
      </c>
      <c r="J4050" t="s">
        <v>968</v>
      </c>
      <c r="K4050" t="s">
        <v>180</v>
      </c>
      <c r="L4050">
        <v>200093949</v>
      </c>
    </row>
    <row r="4051" spans="3:12">
      <c r="C4051">
        <v>2100300025</v>
      </c>
      <c r="D4051">
        <v>6426000</v>
      </c>
      <c r="E4051" t="s">
        <v>188</v>
      </c>
      <c r="F4051">
        <v>5210010105</v>
      </c>
      <c r="G4051" s="13">
        <v>322500</v>
      </c>
      <c r="I4051" t="s">
        <v>179</v>
      </c>
      <c r="J4051" t="s">
        <v>958</v>
      </c>
      <c r="K4051" t="s">
        <v>180</v>
      </c>
      <c r="L4051">
        <v>200074966</v>
      </c>
    </row>
    <row r="4052" spans="3:12">
      <c r="C4052">
        <v>2100300025</v>
      </c>
      <c r="D4052">
        <v>6426000</v>
      </c>
      <c r="E4052" t="s">
        <v>188</v>
      </c>
      <c r="F4052">
        <v>5210010105</v>
      </c>
      <c r="G4052" s="13">
        <v>238180</v>
      </c>
      <c r="I4052" t="s">
        <v>179</v>
      </c>
      <c r="J4052" t="s">
        <v>958</v>
      </c>
      <c r="K4052" t="s">
        <v>180</v>
      </c>
      <c r="L4052">
        <v>200092593</v>
      </c>
    </row>
    <row r="4053" spans="3:12">
      <c r="C4053">
        <v>2100300025</v>
      </c>
      <c r="D4053">
        <v>6426000</v>
      </c>
      <c r="E4053" t="s">
        <v>188</v>
      </c>
      <c r="F4053">
        <v>5210010105</v>
      </c>
      <c r="G4053" s="13">
        <v>13300</v>
      </c>
      <c r="I4053" t="s">
        <v>179</v>
      </c>
      <c r="J4053" t="s">
        <v>958</v>
      </c>
      <c r="K4053" t="s">
        <v>180</v>
      </c>
      <c r="L4053">
        <v>200094143</v>
      </c>
    </row>
    <row r="4054" spans="3:12">
      <c r="C4054">
        <v>2100300025</v>
      </c>
      <c r="D4054">
        <v>6426000</v>
      </c>
      <c r="E4054" t="s">
        <v>188</v>
      </c>
      <c r="F4054">
        <v>5210010105</v>
      </c>
      <c r="G4054" s="13">
        <v>101400</v>
      </c>
      <c r="I4054" t="s">
        <v>179</v>
      </c>
      <c r="J4054" t="s">
        <v>958</v>
      </c>
      <c r="K4054" t="s">
        <v>180</v>
      </c>
      <c r="L4054">
        <v>200094144</v>
      </c>
    </row>
    <row r="4055" spans="3:12">
      <c r="C4055">
        <v>2100300025</v>
      </c>
      <c r="D4055">
        <v>6426000</v>
      </c>
      <c r="E4055" t="s">
        <v>188</v>
      </c>
      <c r="F4055">
        <v>5210010105</v>
      </c>
      <c r="G4055" s="13">
        <v>400400</v>
      </c>
      <c r="I4055" t="s">
        <v>179</v>
      </c>
      <c r="J4055" t="s">
        <v>958</v>
      </c>
      <c r="K4055" t="s">
        <v>180</v>
      </c>
      <c r="L4055">
        <v>200093440</v>
      </c>
    </row>
    <row r="4056" spans="3:12">
      <c r="C4056">
        <v>2100300025</v>
      </c>
      <c r="D4056">
        <v>6426000</v>
      </c>
      <c r="E4056" t="s">
        <v>188</v>
      </c>
      <c r="F4056">
        <v>5210010105</v>
      </c>
      <c r="G4056" s="13">
        <v>11000</v>
      </c>
      <c r="I4056" t="s">
        <v>179</v>
      </c>
      <c r="J4056" t="s">
        <v>958</v>
      </c>
      <c r="K4056" t="s">
        <v>180</v>
      </c>
      <c r="L4056">
        <v>200090859</v>
      </c>
    </row>
    <row r="4057" spans="3:12">
      <c r="C4057">
        <v>2100300025</v>
      </c>
      <c r="D4057">
        <v>6426000</v>
      </c>
      <c r="E4057" t="s">
        <v>188</v>
      </c>
      <c r="F4057">
        <v>5210010105</v>
      </c>
      <c r="G4057" s="13">
        <v>44940</v>
      </c>
      <c r="I4057" t="s">
        <v>179</v>
      </c>
      <c r="J4057" t="s">
        <v>958</v>
      </c>
      <c r="K4057" t="s">
        <v>180</v>
      </c>
      <c r="L4057">
        <v>200094037</v>
      </c>
    </row>
    <row r="4058" spans="3:12">
      <c r="C4058">
        <v>2100300025</v>
      </c>
      <c r="D4058">
        <v>6426000</v>
      </c>
      <c r="E4058" t="s">
        <v>188</v>
      </c>
      <c r="F4058">
        <v>5210010105</v>
      </c>
      <c r="G4058" s="13">
        <v>19990</v>
      </c>
      <c r="I4058" t="s">
        <v>179</v>
      </c>
      <c r="J4058" t="s">
        <v>958</v>
      </c>
      <c r="K4058" t="s">
        <v>180</v>
      </c>
      <c r="L4058">
        <v>200093640</v>
      </c>
    </row>
    <row r="4059" spans="3:12">
      <c r="C4059">
        <v>2100300025</v>
      </c>
      <c r="D4059">
        <v>6426000</v>
      </c>
      <c r="E4059" t="s">
        <v>188</v>
      </c>
      <c r="F4059">
        <v>5210010105</v>
      </c>
      <c r="G4059" s="13">
        <v>13490</v>
      </c>
      <c r="I4059" t="s">
        <v>179</v>
      </c>
      <c r="J4059" t="s">
        <v>958</v>
      </c>
      <c r="K4059" t="s">
        <v>180</v>
      </c>
      <c r="L4059">
        <v>200093641</v>
      </c>
    </row>
    <row r="4060" spans="3:12">
      <c r="C4060">
        <v>2100300025</v>
      </c>
      <c r="D4060">
        <v>6426000</v>
      </c>
      <c r="E4060" t="s">
        <v>188</v>
      </c>
      <c r="F4060">
        <v>5210010105</v>
      </c>
      <c r="G4060" s="13">
        <v>119893.5</v>
      </c>
      <c r="I4060" t="s">
        <v>179</v>
      </c>
      <c r="J4060" t="s">
        <v>959</v>
      </c>
      <c r="K4060" t="s">
        <v>180</v>
      </c>
      <c r="L4060">
        <v>200089185</v>
      </c>
    </row>
    <row r="4061" spans="3:12">
      <c r="C4061">
        <v>2100300025</v>
      </c>
      <c r="D4061">
        <v>6426000</v>
      </c>
      <c r="E4061" t="s">
        <v>188</v>
      </c>
      <c r="F4061">
        <v>5210010105</v>
      </c>
      <c r="G4061" s="13">
        <v>54130</v>
      </c>
      <c r="I4061" t="s">
        <v>179</v>
      </c>
      <c r="J4061" t="s">
        <v>959</v>
      </c>
      <c r="K4061" t="s">
        <v>180</v>
      </c>
      <c r="L4061">
        <v>200089869</v>
      </c>
    </row>
    <row r="4062" spans="3:12">
      <c r="C4062">
        <v>2100300025</v>
      </c>
      <c r="D4062">
        <v>6426000</v>
      </c>
      <c r="E4062" t="s">
        <v>188</v>
      </c>
      <c r="F4062">
        <v>5210010105</v>
      </c>
      <c r="G4062" s="13">
        <v>5403.5</v>
      </c>
      <c r="I4062" t="s">
        <v>179</v>
      </c>
      <c r="J4062" t="s">
        <v>959</v>
      </c>
      <c r="K4062" t="s">
        <v>180</v>
      </c>
      <c r="L4062">
        <v>200089186</v>
      </c>
    </row>
    <row r="4063" spans="3:12">
      <c r="C4063">
        <v>2100300025</v>
      </c>
      <c r="D4063">
        <v>6426000</v>
      </c>
      <c r="E4063" t="s">
        <v>188</v>
      </c>
      <c r="F4063">
        <v>5210010105</v>
      </c>
      <c r="G4063" s="13">
        <v>86135</v>
      </c>
      <c r="I4063" t="s">
        <v>179</v>
      </c>
      <c r="J4063" t="s">
        <v>961</v>
      </c>
      <c r="K4063" t="s">
        <v>180</v>
      </c>
      <c r="L4063">
        <v>200089249</v>
      </c>
    </row>
    <row r="4064" spans="3:12">
      <c r="C4064">
        <v>2100300025</v>
      </c>
      <c r="D4064">
        <v>6426000</v>
      </c>
      <c r="E4064" t="s">
        <v>188</v>
      </c>
      <c r="F4064">
        <v>5210010105</v>
      </c>
      <c r="G4064" s="13">
        <v>14178.9</v>
      </c>
      <c r="I4064" t="s">
        <v>179</v>
      </c>
      <c r="J4064" t="s">
        <v>961</v>
      </c>
      <c r="K4064" t="s">
        <v>180</v>
      </c>
      <c r="L4064">
        <v>200089359</v>
      </c>
    </row>
    <row r="4065" spans="3:12">
      <c r="C4065">
        <v>2100300025</v>
      </c>
      <c r="D4065">
        <v>6426000</v>
      </c>
      <c r="E4065" t="s">
        <v>188</v>
      </c>
      <c r="F4065">
        <v>5210010105</v>
      </c>
      <c r="G4065" s="13">
        <v>184370</v>
      </c>
      <c r="I4065" t="s">
        <v>179</v>
      </c>
      <c r="J4065" t="s">
        <v>961</v>
      </c>
      <c r="K4065" t="s">
        <v>180</v>
      </c>
      <c r="L4065">
        <v>200089360</v>
      </c>
    </row>
    <row r="4066" spans="3:12">
      <c r="C4066">
        <v>2100300025</v>
      </c>
      <c r="D4066">
        <v>6426000</v>
      </c>
      <c r="E4066" t="s">
        <v>188</v>
      </c>
      <c r="F4066">
        <v>5210010105</v>
      </c>
      <c r="G4066" s="13">
        <v>120000</v>
      </c>
      <c r="I4066" t="s">
        <v>179</v>
      </c>
      <c r="J4066" t="s">
        <v>961</v>
      </c>
      <c r="K4066" t="s">
        <v>180</v>
      </c>
      <c r="L4066">
        <v>200089435</v>
      </c>
    </row>
    <row r="4067" spans="3:12">
      <c r="C4067">
        <v>2100300025</v>
      </c>
      <c r="D4067">
        <v>6426000</v>
      </c>
      <c r="E4067" t="s">
        <v>188</v>
      </c>
      <c r="F4067">
        <v>5210010105</v>
      </c>
      <c r="G4067" s="13">
        <v>39600</v>
      </c>
      <c r="I4067" t="s">
        <v>179</v>
      </c>
      <c r="J4067" t="s">
        <v>961</v>
      </c>
      <c r="K4067" t="s">
        <v>180</v>
      </c>
      <c r="L4067">
        <v>200058656</v>
      </c>
    </row>
    <row r="4068" spans="3:12">
      <c r="C4068">
        <v>2100300025</v>
      </c>
      <c r="D4068">
        <v>6426000</v>
      </c>
      <c r="E4068" t="s">
        <v>188</v>
      </c>
      <c r="F4068">
        <v>5210010105</v>
      </c>
      <c r="G4068" s="13">
        <v>5500</v>
      </c>
      <c r="I4068" t="s">
        <v>179</v>
      </c>
      <c r="J4068" t="s">
        <v>961</v>
      </c>
      <c r="K4068" t="s">
        <v>180</v>
      </c>
      <c r="L4068">
        <v>200085989</v>
      </c>
    </row>
    <row r="4069" spans="3:12">
      <c r="C4069">
        <v>2100300025</v>
      </c>
      <c r="D4069">
        <v>6426000</v>
      </c>
      <c r="E4069" t="s">
        <v>188</v>
      </c>
      <c r="F4069">
        <v>5210010105</v>
      </c>
      <c r="G4069">
        <v>750</v>
      </c>
      <c r="I4069" t="s">
        <v>179</v>
      </c>
      <c r="J4069" t="s">
        <v>961</v>
      </c>
      <c r="K4069" t="s">
        <v>180</v>
      </c>
      <c r="L4069">
        <v>200089243</v>
      </c>
    </row>
    <row r="4070" spans="3:12">
      <c r="C4070">
        <v>2100300025</v>
      </c>
      <c r="D4070">
        <v>6426000</v>
      </c>
      <c r="E4070" t="s">
        <v>188</v>
      </c>
      <c r="F4070">
        <v>5210010105</v>
      </c>
      <c r="G4070" s="13">
        <v>2439</v>
      </c>
      <c r="I4070" t="s">
        <v>179</v>
      </c>
      <c r="J4070" t="s">
        <v>961</v>
      </c>
      <c r="K4070" t="s">
        <v>180</v>
      </c>
      <c r="L4070">
        <v>200089343</v>
      </c>
    </row>
    <row r="4071" spans="3:12">
      <c r="C4071">
        <v>2100300025</v>
      </c>
      <c r="D4071">
        <v>6426000</v>
      </c>
      <c r="E4071" t="s">
        <v>188</v>
      </c>
      <c r="F4071">
        <v>5210010105</v>
      </c>
      <c r="G4071" s="13">
        <v>2340</v>
      </c>
      <c r="I4071" t="s">
        <v>179</v>
      </c>
      <c r="J4071" t="s">
        <v>961</v>
      </c>
      <c r="K4071" t="s">
        <v>180</v>
      </c>
      <c r="L4071">
        <v>200089344</v>
      </c>
    </row>
    <row r="4072" spans="3:12">
      <c r="C4072">
        <v>2100300025</v>
      </c>
      <c r="D4072">
        <v>6426000</v>
      </c>
      <c r="E4072" t="s">
        <v>188</v>
      </c>
      <c r="F4072">
        <v>5210010105</v>
      </c>
      <c r="G4072" s="13">
        <v>19425</v>
      </c>
      <c r="I4072" t="s">
        <v>179</v>
      </c>
      <c r="J4072" t="s">
        <v>851</v>
      </c>
      <c r="K4072" t="s">
        <v>180</v>
      </c>
      <c r="L4072">
        <v>200099294</v>
      </c>
    </row>
    <row r="4073" spans="3:12">
      <c r="C4073">
        <v>2100300025</v>
      </c>
      <c r="D4073">
        <v>6426000</v>
      </c>
      <c r="E4073" t="s">
        <v>188</v>
      </c>
      <c r="F4073">
        <v>5210010105</v>
      </c>
      <c r="G4073" s="13">
        <v>218999.04000000001</v>
      </c>
      <c r="I4073" t="s">
        <v>179</v>
      </c>
      <c r="J4073" t="s">
        <v>962</v>
      </c>
      <c r="K4073" t="s">
        <v>180</v>
      </c>
      <c r="L4073">
        <v>200097838</v>
      </c>
    </row>
    <row r="4074" spans="3:12">
      <c r="C4074">
        <v>2100300025</v>
      </c>
      <c r="D4074">
        <v>6426000</v>
      </c>
      <c r="E4074" t="s">
        <v>188</v>
      </c>
      <c r="F4074">
        <v>5210010105</v>
      </c>
      <c r="G4074" s="13">
        <v>494991</v>
      </c>
      <c r="I4074" t="s">
        <v>179</v>
      </c>
      <c r="J4074" t="s">
        <v>962</v>
      </c>
      <c r="K4074" t="s">
        <v>180</v>
      </c>
      <c r="L4074">
        <v>200099402</v>
      </c>
    </row>
    <row r="4075" spans="3:12">
      <c r="C4075">
        <v>2100300025</v>
      </c>
      <c r="D4075">
        <v>6426000</v>
      </c>
      <c r="E4075" t="s">
        <v>188</v>
      </c>
      <c r="F4075">
        <v>5210010105</v>
      </c>
      <c r="G4075" s="13">
        <v>72905</v>
      </c>
      <c r="I4075" t="s">
        <v>179</v>
      </c>
      <c r="J4075" t="s">
        <v>962</v>
      </c>
      <c r="K4075" t="s">
        <v>180</v>
      </c>
      <c r="L4075">
        <v>200098473</v>
      </c>
    </row>
    <row r="4076" spans="3:12">
      <c r="C4076">
        <v>2100300025</v>
      </c>
      <c r="D4076">
        <v>6426000</v>
      </c>
      <c r="E4076" t="s">
        <v>188</v>
      </c>
      <c r="F4076">
        <v>5210010105</v>
      </c>
      <c r="G4076" s="13">
        <v>11128</v>
      </c>
      <c r="I4076" t="s">
        <v>179</v>
      </c>
      <c r="J4076" t="s">
        <v>962</v>
      </c>
      <c r="K4076" t="s">
        <v>180</v>
      </c>
      <c r="L4076">
        <v>200099403</v>
      </c>
    </row>
    <row r="4077" spans="3:12">
      <c r="C4077">
        <v>2100300025</v>
      </c>
      <c r="D4077">
        <v>6426000</v>
      </c>
      <c r="E4077" t="s">
        <v>188</v>
      </c>
      <c r="F4077">
        <v>5210010105</v>
      </c>
      <c r="G4077" s="13">
        <v>15644</v>
      </c>
      <c r="I4077" t="s">
        <v>179</v>
      </c>
      <c r="J4077" t="s">
        <v>962</v>
      </c>
      <c r="K4077" t="s">
        <v>180</v>
      </c>
      <c r="L4077">
        <v>200097795</v>
      </c>
    </row>
    <row r="4078" spans="3:12">
      <c r="C4078">
        <v>2100300025</v>
      </c>
      <c r="D4078">
        <v>6426000</v>
      </c>
      <c r="E4078" t="s">
        <v>188</v>
      </c>
      <c r="F4078">
        <v>5210010105</v>
      </c>
      <c r="G4078" s="13">
        <v>140063</v>
      </c>
      <c r="I4078" t="s">
        <v>179</v>
      </c>
      <c r="J4078" t="s">
        <v>962</v>
      </c>
      <c r="K4078" t="s">
        <v>180</v>
      </c>
      <c r="L4078">
        <v>200098464</v>
      </c>
    </row>
    <row r="4079" spans="3:12">
      <c r="C4079">
        <v>2100300025</v>
      </c>
      <c r="D4079">
        <v>6426000</v>
      </c>
      <c r="E4079" t="s">
        <v>188</v>
      </c>
      <c r="F4079">
        <v>5210010105</v>
      </c>
      <c r="G4079" s="13">
        <v>8988</v>
      </c>
      <c r="I4079" t="s">
        <v>179</v>
      </c>
      <c r="J4079" t="s">
        <v>962</v>
      </c>
      <c r="K4079" t="s">
        <v>180</v>
      </c>
      <c r="L4079">
        <v>200097952</v>
      </c>
    </row>
    <row r="4080" spans="3:12">
      <c r="C4080">
        <v>2100300025</v>
      </c>
      <c r="D4080">
        <v>6426000</v>
      </c>
      <c r="E4080" t="s">
        <v>188</v>
      </c>
      <c r="F4080">
        <v>5210010105</v>
      </c>
      <c r="G4080" s="13">
        <v>42000</v>
      </c>
      <c r="I4080" t="s">
        <v>179</v>
      </c>
      <c r="J4080" t="s">
        <v>962</v>
      </c>
      <c r="K4080" t="s">
        <v>180</v>
      </c>
      <c r="L4080">
        <v>200098467</v>
      </c>
    </row>
    <row r="4081" spans="3:12">
      <c r="C4081">
        <v>2100300025</v>
      </c>
      <c r="D4081">
        <v>6426000</v>
      </c>
      <c r="E4081" t="s">
        <v>188</v>
      </c>
      <c r="F4081">
        <v>5210010105</v>
      </c>
      <c r="G4081" s="13">
        <v>37500</v>
      </c>
      <c r="I4081" t="s">
        <v>179</v>
      </c>
      <c r="J4081" t="s">
        <v>962</v>
      </c>
      <c r="K4081" t="s">
        <v>180</v>
      </c>
      <c r="L4081">
        <v>200097799</v>
      </c>
    </row>
    <row r="4082" spans="3:12">
      <c r="C4082">
        <v>2100300025</v>
      </c>
      <c r="D4082">
        <v>6426000</v>
      </c>
      <c r="E4082" t="s">
        <v>188</v>
      </c>
      <c r="F4082">
        <v>5210010105</v>
      </c>
      <c r="G4082" s="13">
        <v>4970000</v>
      </c>
      <c r="I4082" t="s">
        <v>179</v>
      </c>
      <c r="J4082" t="s">
        <v>962</v>
      </c>
      <c r="K4082" t="s">
        <v>180</v>
      </c>
      <c r="L4082">
        <v>200098468</v>
      </c>
    </row>
    <row r="4083" spans="3:12">
      <c r="C4083">
        <v>2100300025</v>
      </c>
      <c r="D4083">
        <v>6426000</v>
      </c>
      <c r="E4083" t="s">
        <v>188</v>
      </c>
      <c r="F4083">
        <v>5210010105</v>
      </c>
      <c r="G4083" s="13">
        <v>71155</v>
      </c>
      <c r="I4083" t="s">
        <v>179</v>
      </c>
      <c r="J4083" t="s">
        <v>963</v>
      </c>
      <c r="K4083" t="s">
        <v>180</v>
      </c>
      <c r="L4083">
        <v>200092225</v>
      </c>
    </row>
    <row r="4084" spans="3:12">
      <c r="C4084">
        <v>2100300025</v>
      </c>
      <c r="D4084">
        <v>6426000</v>
      </c>
      <c r="E4084" t="s">
        <v>188</v>
      </c>
      <c r="F4084">
        <v>5210010105</v>
      </c>
      <c r="G4084" s="13">
        <v>6195.3</v>
      </c>
      <c r="I4084" t="s">
        <v>179</v>
      </c>
      <c r="J4084" t="s">
        <v>963</v>
      </c>
      <c r="K4084" t="s">
        <v>180</v>
      </c>
      <c r="L4084">
        <v>200092403</v>
      </c>
    </row>
    <row r="4085" spans="3:12">
      <c r="C4085">
        <v>2100300025</v>
      </c>
      <c r="D4085">
        <v>6426000</v>
      </c>
      <c r="E4085" t="s">
        <v>188</v>
      </c>
      <c r="F4085">
        <v>5210010105</v>
      </c>
      <c r="G4085" s="13">
        <v>5100</v>
      </c>
      <c r="I4085" t="s">
        <v>179</v>
      </c>
      <c r="J4085" t="s">
        <v>963</v>
      </c>
      <c r="K4085" t="s">
        <v>180</v>
      </c>
      <c r="L4085">
        <v>200092404</v>
      </c>
    </row>
    <row r="4086" spans="3:12">
      <c r="C4086">
        <v>2100300025</v>
      </c>
      <c r="D4086">
        <v>6426000</v>
      </c>
      <c r="E4086" t="s">
        <v>188</v>
      </c>
      <c r="F4086">
        <v>5210010105</v>
      </c>
      <c r="G4086" s="13">
        <v>31458</v>
      </c>
      <c r="I4086" t="s">
        <v>179</v>
      </c>
      <c r="J4086" t="s">
        <v>963</v>
      </c>
      <c r="K4086" t="s">
        <v>180</v>
      </c>
      <c r="L4086">
        <v>200092405</v>
      </c>
    </row>
    <row r="4087" spans="3:12">
      <c r="C4087">
        <v>2100300025</v>
      </c>
      <c r="D4087">
        <v>6426000</v>
      </c>
      <c r="E4087" t="s">
        <v>188</v>
      </c>
      <c r="F4087">
        <v>5210010105</v>
      </c>
      <c r="G4087" s="13">
        <v>269832.59999999998</v>
      </c>
      <c r="I4087" t="s">
        <v>179</v>
      </c>
      <c r="J4087" t="s">
        <v>963</v>
      </c>
      <c r="K4087" t="s">
        <v>180</v>
      </c>
      <c r="L4087">
        <v>200092227</v>
      </c>
    </row>
    <row r="4088" spans="3:12">
      <c r="C4088">
        <v>2100300025</v>
      </c>
      <c r="D4088">
        <v>6426000</v>
      </c>
      <c r="E4088" t="s">
        <v>188</v>
      </c>
      <c r="F4088">
        <v>5210010105</v>
      </c>
      <c r="G4088" s="13">
        <v>3456</v>
      </c>
      <c r="I4088" t="s">
        <v>179</v>
      </c>
      <c r="J4088" t="s">
        <v>963</v>
      </c>
      <c r="K4088" t="s">
        <v>180</v>
      </c>
      <c r="L4088">
        <v>200091560</v>
      </c>
    </row>
    <row r="4089" spans="3:12">
      <c r="C4089">
        <v>2100300025</v>
      </c>
      <c r="D4089">
        <v>6426000</v>
      </c>
      <c r="E4089" t="s">
        <v>188</v>
      </c>
      <c r="F4089">
        <v>5210010105</v>
      </c>
      <c r="G4089" s="13">
        <v>2250</v>
      </c>
      <c r="I4089" t="s">
        <v>179</v>
      </c>
      <c r="J4089" t="s">
        <v>963</v>
      </c>
      <c r="K4089" t="s">
        <v>180</v>
      </c>
      <c r="L4089">
        <v>200092228</v>
      </c>
    </row>
    <row r="4090" spans="3:12">
      <c r="C4090">
        <v>2100300025</v>
      </c>
      <c r="D4090">
        <v>6426000</v>
      </c>
      <c r="E4090" t="s">
        <v>188</v>
      </c>
      <c r="F4090">
        <v>5210010105</v>
      </c>
      <c r="G4090" s="13">
        <v>4012.5</v>
      </c>
      <c r="I4090" t="s">
        <v>179</v>
      </c>
      <c r="J4090" t="s">
        <v>963</v>
      </c>
      <c r="K4090" t="s">
        <v>180</v>
      </c>
      <c r="L4090">
        <v>200090141</v>
      </c>
    </row>
    <row r="4091" spans="3:12">
      <c r="C4091">
        <v>2100300025</v>
      </c>
      <c r="D4091">
        <v>6426000</v>
      </c>
      <c r="E4091" t="s">
        <v>188</v>
      </c>
      <c r="F4091">
        <v>5210010105</v>
      </c>
      <c r="G4091" s="13">
        <v>3691.5</v>
      </c>
      <c r="I4091" t="s">
        <v>179</v>
      </c>
      <c r="J4091" t="s">
        <v>963</v>
      </c>
      <c r="K4091" t="s">
        <v>180</v>
      </c>
      <c r="L4091">
        <v>200092229</v>
      </c>
    </row>
    <row r="4092" spans="3:12">
      <c r="C4092">
        <v>2100300025</v>
      </c>
      <c r="D4092">
        <v>6426000</v>
      </c>
      <c r="E4092" t="s">
        <v>188</v>
      </c>
      <c r="F4092">
        <v>5210010105</v>
      </c>
      <c r="G4092" s="13">
        <v>2970</v>
      </c>
      <c r="I4092" t="s">
        <v>179</v>
      </c>
      <c r="J4092" t="s">
        <v>963</v>
      </c>
      <c r="K4092" t="s">
        <v>180</v>
      </c>
      <c r="L4092">
        <v>200090084</v>
      </c>
    </row>
    <row r="4093" spans="3:12">
      <c r="C4093">
        <v>2100300025</v>
      </c>
      <c r="D4093">
        <v>6426000</v>
      </c>
      <c r="E4093" t="s">
        <v>188</v>
      </c>
      <c r="F4093">
        <v>5210010105</v>
      </c>
      <c r="G4093" s="13">
        <v>2967.9</v>
      </c>
      <c r="I4093" t="s">
        <v>179</v>
      </c>
      <c r="J4093" t="s">
        <v>963</v>
      </c>
      <c r="K4093" t="s">
        <v>180</v>
      </c>
      <c r="L4093">
        <v>200092151</v>
      </c>
    </row>
    <row r="4094" spans="3:12">
      <c r="C4094">
        <v>2100300025</v>
      </c>
      <c r="D4094">
        <v>6426000</v>
      </c>
      <c r="E4094" t="s">
        <v>188</v>
      </c>
      <c r="F4094">
        <v>5210010105</v>
      </c>
      <c r="G4094" s="13">
        <v>21104</v>
      </c>
      <c r="I4094" t="s">
        <v>179</v>
      </c>
      <c r="J4094" t="s">
        <v>963</v>
      </c>
      <c r="K4094" t="s">
        <v>180</v>
      </c>
      <c r="L4094">
        <v>200092707</v>
      </c>
    </row>
    <row r="4095" spans="3:12">
      <c r="C4095">
        <v>2100300025</v>
      </c>
      <c r="D4095">
        <v>6426000</v>
      </c>
      <c r="E4095" t="s">
        <v>188</v>
      </c>
      <c r="F4095">
        <v>5210010105</v>
      </c>
      <c r="G4095" s="13">
        <v>15194</v>
      </c>
      <c r="I4095" t="s">
        <v>179</v>
      </c>
      <c r="J4095" t="s">
        <v>963</v>
      </c>
      <c r="K4095" t="s">
        <v>180</v>
      </c>
      <c r="L4095">
        <v>200092712</v>
      </c>
    </row>
    <row r="4096" spans="3:12">
      <c r="C4096">
        <v>2100300025</v>
      </c>
      <c r="D4096">
        <v>6426000</v>
      </c>
      <c r="E4096" t="s">
        <v>188</v>
      </c>
      <c r="F4096">
        <v>5210010105</v>
      </c>
      <c r="G4096" s="13">
        <v>6700</v>
      </c>
      <c r="I4096" t="s">
        <v>179</v>
      </c>
      <c r="J4096" t="s">
        <v>963</v>
      </c>
      <c r="K4096" t="s">
        <v>180</v>
      </c>
      <c r="L4096">
        <v>200092714</v>
      </c>
    </row>
    <row r="4097" spans="3:12">
      <c r="C4097">
        <v>2100300025</v>
      </c>
      <c r="D4097">
        <v>6426000</v>
      </c>
      <c r="E4097" t="s">
        <v>188</v>
      </c>
      <c r="F4097">
        <v>5210010105</v>
      </c>
      <c r="G4097" s="13">
        <v>2000</v>
      </c>
      <c r="I4097" t="s">
        <v>179</v>
      </c>
      <c r="J4097" t="s">
        <v>963</v>
      </c>
      <c r="K4097" t="s">
        <v>180</v>
      </c>
      <c r="L4097">
        <v>200092715</v>
      </c>
    </row>
    <row r="4098" spans="3:12">
      <c r="C4098">
        <v>2100300025</v>
      </c>
      <c r="D4098">
        <v>6426000</v>
      </c>
      <c r="E4098" t="s">
        <v>188</v>
      </c>
      <c r="F4098">
        <v>5210010105</v>
      </c>
      <c r="G4098">
        <v>150</v>
      </c>
      <c r="I4098" t="s">
        <v>179</v>
      </c>
      <c r="J4098" t="s">
        <v>963</v>
      </c>
      <c r="K4098" t="s">
        <v>180</v>
      </c>
      <c r="L4098">
        <v>200092716</v>
      </c>
    </row>
    <row r="4099" spans="3:12">
      <c r="C4099">
        <v>2100300025</v>
      </c>
      <c r="D4099">
        <v>6426000</v>
      </c>
      <c r="E4099" t="s">
        <v>188</v>
      </c>
      <c r="F4099">
        <v>5210010105</v>
      </c>
      <c r="G4099" s="13">
        <v>90480</v>
      </c>
      <c r="I4099" t="s">
        <v>179</v>
      </c>
      <c r="J4099" t="s">
        <v>963</v>
      </c>
      <c r="K4099" t="s">
        <v>180</v>
      </c>
      <c r="L4099">
        <v>200092618</v>
      </c>
    </row>
    <row r="4100" spans="3:12">
      <c r="C4100">
        <v>2100300025</v>
      </c>
      <c r="D4100">
        <v>6426000</v>
      </c>
      <c r="E4100" t="s">
        <v>188</v>
      </c>
      <c r="F4100">
        <v>5210010105</v>
      </c>
      <c r="G4100" s="13">
        <v>1238748.75</v>
      </c>
      <c r="I4100" t="s">
        <v>179</v>
      </c>
      <c r="J4100" t="s">
        <v>963</v>
      </c>
      <c r="K4100" t="s">
        <v>180</v>
      </c>
      <c r="L4100">
        <v>200092619</v>
      </c>
    </row>
    <row r="4101" spans="3:12">
      <c r="C4101">
        <v>2100300025</v>
      </c>
      <c r="D4101">
        <v>6426000</v>
      </c>
      <c r="E4101" t="s">
        <v>188</v>
      </c>
      <c r="F4101">
        <v>5210010105</v>
      </c>
      <c r="G4101" s="13">
        <v>80892</v>
      </c>
      <c r="I4101" t="s">
        <v>179</v>
      </c>
      <c r="J4101" t="s">
        <v>853</v>
      </c>
      <c r="K4101" t="s">
        <v>180</v>
      </c>
      <c r="L4101">
        <v>200092007</v>
      </c>
    </row>
    <row r="4102" spans="3:12">
      <c r="C4102">
        <v>2100300025</v>
      </c>
      <c r="D4102">
        <v>6426000</v>
      </c>
      <c r="E4102" t="s">
        <v>188</v>
      </c>
      <c r="F4102">
        <v>5210010105</v>
      </c>
      <c r="G4102" s="13">
        <v>15000</v>
      </c>
      <c r="I4102" t="s">
        <v>179</v>
      </c>
      <c r="J4102" t="s">
        <v>853</v>
      </c>
      <c r="K4102" t="s">
        <v>180</v>
      </c>
      <c r="L4102">
        <v>200091738</v>
      </c>
    </row>
    <row r="4103" spans="3:12">
      <c r="C4103">
        <v>2100300025</v>
      </c>
      <c r="D4103">
        <v>6426000</v>
      </c>
      <c r="E4103" t="s">
        <v>188</v>
      </c>
      <c r="F4103">
        <v>5210010105</v>
      </c>
      <c r="G4103" s="13">
        <v>16200</v>
      </c>
      <c r="I4103" t="s">
        <v>179</v>
      </c>
      <c r="J4103" t="s">
        <v>855</v>
      </c>
      <c r="K4103" t="s">
        <v>180</v>
      </c>
      <c r="L4103">
        <v>200090958</v>
      </c>
    </row>
    <row r="4104" spans="3:12">
      <c r="C4104">
        <v>2100300025</v>
      </c>
      <c r="D4104">
        <v>6426000</v>
      </c>
      <c r="E4104" t="s">
        <v>188</v>
      </c>
      <c r="F4104">
        <v>5210010105</v>
      </c>
      <c r="G4104" s="13">
        <v>55000</v>
      </c>
      <c r="I4104" t="s">
        <v>179</v>
      </c>
      <c r="J4104" t="s">
        <v>965</v>
      </c>
      <c r="K4104" t="s">
        <v>180</v>
      </c>
      <c r="L4104">
        <v>200094323</v>
      </c>
    </row>
    <row r="4105" spans="3:12">
      <c r="C4105">
        <v>2100300025</v>
      </c>
      <c r="D4105">
        <v>6426000</v>
      </c>
      <c r="E4105" t="s">
        <v>188</v>
      </c>
      <c r="F4105">
        <v>5210010105</v>
      </c>
      <c r="G4105">
        <v>60</v>
      </c>
      <c r="I4105" t="s">
        <v>179</v>
      </c>
      <c r="J4105" t="s">
        <v>965</v>
      </c>
      <c r="K4105" t="s">
        <v>180</v>
      </c>
      <c r="L4105">
        <v>200095028</v>
      </c>
    </row>
    <row r="4106" spans="3:12">
      <c r="C4106">
        <v>2100300025</v>
      </c>
      <c r="D4106">
        <v>6426000</v>
      </c>
      <c r="E4106" t="s">
        <v>188</v>
      </c>
      <c r="F4106">
        <v>5210010105</v>
      </c>
      <c r="G4106" s="13">
        <v>25400</v>
      </c>
      <c r="I4106" t="s">
        <v>179</v>
      </c>
      <c r="J4106" t="s">
        <v>965</v>
      </c>
      <c r="K4106" t="s">
        <v>180</v>
      </c>
      <c r="L4106">
        <v>200095029</v>
      </c>
    </row>
    <row r="4107" spans="3:12">
      <c r="C4107">
        <v>2100300025</v>
      </c>
      <c r="D4107">
        <v>6426000</v>
      </c>
      <c r="E4107" t="s">
        <v>188</v>
      </c>
      <c r="F4107">
        <v>5210010105</v>
      </c>
      <c r="G4107" s="13">
        <v>2000</v>
      </c>
      <c r="I4107" t="s">
        <v>179</v>
      </c>
      <c r="J4107" t="s">
        <v>965</v>
      </c>
      <c r="K4107" t="s">
        <v>180</v>
      </c>
      <c r="L4107">
        <v>200095030</v>
      </c>
    </row>
    <row r="4108" spans="3:12">
      <c r="C4108">
        <v>2100300025</v>
      </c>
      <c r="D4108">
        <v>6426000</v>
      </c>
      <c r="E4108" t="s">
        <v>188</v>
      </c>
      <c r="F4108">
        <v>5210010105</v>
      </c>
      <c r="G4108" s="13">
        <v>20000</v>
      </c>
      <c r="I4108" t="s">
        <v>179</v>
      </c>
      <c r="J4108" t="s">
        <v>965</v>
      </c>
      <c r="K4108" t="s">
        <v>180</v>
      </c>
      <c r="L4108">
        <v>200094965</v>
      </c>
    </row>
    <row r="4109" spans="3:12">
      <c r="C4109">
        <v>2100300025</v>
      </c>
      <c r="D4109">
        <v>6426000</v>
      </c>
      <c r="E4109" t="s">
        <v>188</v>
      </c>
      <c r="F4109">
        <v>5210010105</v>
      </c>
      <c r="G4109" s="13">
        <v>124250</v>
      </c>
      <c r="I4109" t="s">
        <v>179</v>
      </c>
      <c r="J4109" t="s">
        <v>967</v>
      </c>
      <c r="K4109" t="s">
        <v>180</v>
      </c>
      <c r="L4109">
        <v>200102138</v>
      </c>
    </row>
    <row r="4110" spans="3:12">
      <c r="C4110">
        <v>2100300025</v>
      </c>
      <c r="D4110">
        <v>6426000</v>
      </c>
      <c r="E4110" t="s">
        <v>188</v>
      </c>
      <c r="F4110">
        <v>5210010105</v>
      </c>
      <c r="G4110" s="13">
        <v>74052.429999999993</v>
      </c>
      <c r="I4110" t="s">
        <v>179</v>
      </c>
      <c r="J4110" t="s">
        <v>967</v>
      </c>
      <c r="K4110" t="s">
        <v>180</v>
      </c>
      <c r="L4110">
        <v>200088048</v>
      </c>
    </row>
    <row r="4111" spans="3:12">
      <c r="C4111">
        <v>2100300025</v>
      </c>
      <c r="D4111">
        <v>6426000</v>
      </c>
      <c r="E4111" t="s">
        <v>188</v>
      </c>
      <c r="F4111">
        <v>5210010105</v>
      </c>
      <c r="G4111">
        <v>140</v>
      </c>
      <c r="I4111" t="s">
        <v>179</v>
      </c>
      <c r="J4111" t="s">
        <v>967</v>
      </c>
      <c r="K4111" t="s">
        <v>180</v>
      </c>
      <c r="L4111">
        <v>200102315</v>
      </c>
    </row>
    <row r="4112" spans="3:12">
      <c r="C4112">
        <v>2100300025</v>
      </c>
      <c r="D4112">
        <v>6426000</v>
      </c>
      <c r="E4112" t="s">
        <v>188</v>
      </c>
      <c r="F4112">
        <v>5210010105</v>
      </c>
      <c r="G4112" s="13">
        <v>42211.5</v>
      </c>
      <c r="I4112" t="s">
        <v>179</v>
      </c>
      <c r="J4112" t="s">
        <v>967</v>
      </c>
      <c r="K4112" t="s">
        <v>180</v>
      </c>
      <c r="L4112">
        <v>200102316</v>
      </c>
    </row>
    <row r="4113" spans="3:12">
      <c r="C4113">
        <v>2100300025</v>
      </c>
      <c r="D4113">
        <v>6426000</v>
      </c>
      <c r="E4113" t="s">
        <v>188</v>
      </c>
      <c r="F4113">
        <v>5210010105</v>
      </c>
      <c r="G4113" s="13">
        <v>101410</v>
      </c>
      <c r="I4113" t="s">
        <v>179</v>
      </c>
      <c r="J4113" t="s">
        <v>967</v>
      </c>
      <c r="K4113" t="s">
        <v>180</v>
      </c>
      <c r="L4113">
        <v>200102317</v>
      </c>
    </row>
    <row r="4114" spans="3:12">
      <c r="C4114">
        <v>2100300025</v>
      </c>
      <c r="D4114">
        <v>6426000</v>
      </c>
      <c r="E4114" t="s">
        <v>188</v>
      </c>
      <c r="F4114">
        <v>5210010105</v>
      </c>
      <c r="G4114" s="13">
        <v>130540</v>
      </c>
      <c r="I4114" t="s">
        <v>179</v>
      </c>
      <c r="J4114" t="s">
        <v>566</v>
      </c>
      <c r="K4114" t="s">
        <v>180</v>
      </c>
      <c r="L4114">
        <v>200102626</v>
      </c>
    </row>
    <row r="4115" spans="3:12">
      <c r="C4115">
        <v>2100300025</v>
      </c>
      <c r="D4115">
        <v>6426000</v>
      </c>
      <c r="E4115" t="s">
        <v>188</v>
      </c>
      <c r="F4115">
        <v>5210010105</v>
      </c>
      <c r="G4115">
        <v>112</v>
      </c>
      <c r="I4115" t="s">
        <v>179</v>
      </c>
      <c r="J4115" t="s">
        <v>566</v>
      </c>
      <c r="K4115" t="s">
        <v>180</v>
      </c>
      <c r="L4115">
        <v>200101151</v>
      </c>
    </row>
    <row r="4116" spans="3:12">
      <c r="C4116">
        <v>2100300025</v>
      </c>
      <c r="D4116">
        <v>6426000</v>
      </c>
      <c r="E4116" t="s">
        <v>188</v>
      </c>
      <c r="F4116">
        <v>5210010105</v>
      </c>
      <c r="G4116" s="13">
        <v>4400</v>
      </c>
      <c r="I4116" t="s">
        <v>179</v>
      </c>
      <c r="J4116" t="s">
        <v>566</v>
      </c>
      <c r="K4116" t="s">
        <v>180</v>
      </c>
      <c r="L4116">
        <v>200101152</v>
      </c>
    </row>
    <row r="4117" spans="3:12">
      <c r="C4117">
        <v>2100300025</v>
      </c>
      <c r="D4117">
        <v>6426000</v>
      </c>
      <c r="E4117" t="s">
        <v>188</v>
      </c>
      <c r="F4117">
        <v>5210010105</v>
      </c>
      <c r="G4117">
        <v>83</v>
      </c>
      <c r="I4117" t="s">
        <v>179</v>
      </c>
      <c r="J4117" t="s">
        <v>566</v>
      </c>
      <c r="K4117" t="s">
        <v>180</v>
      </c>
      <c r="L4117">
        <v>200101153</v>
      </c>
    </row>
    <row r="4118" spans="3:12">
      <c r="C4118">
        <v>2100300025</v>
      </c>
      <c r="D4118">
        <v>6426000</v>
      </c>
      <c r="E4118" t="s">
        <v>188</v>
      </c>
      <c r="F4118">
        <v>5210010105</v>
      </c>
      <c r="G4118">
        <v>300</v>
      </c>
      <c r="I4118" t="s">
        <v>179</v>
      </c>
      <c r="J4118" t="s">
        <v>566</v>
      </c>
      <c r="K4118" t="s">
        <v>180</v>
      </c>
      <c r="L4118">
        <v>200101154</v>
      </c>
    </row>
    <row r="4119" spans="3:12">
      <c r="C4119">
        <v>2100300025</v>
      </c>
      <c r="D4119">
        <v>6426000</v>
      </c>
      <c r="E4119" t="s">
        <v>188</v>
      </c>
      <c r="F4119">
        <v>5210010105</v>
      </c>
      <c r="G4119" s="13">
        <v>1028</v>
      </c>
      <c r="I4119" t="s">
        <v>179</v>
      </c>
      <c r="J4119" t="s">
        <v>566</v>
      </c>
      <c r="K4119" t="s">
        <v>180</v>
      </c>
      <c r="L4119">
        <v>200101155</v>
      </c>
    </row>
    <row r="4120" spans="3:12">
      <c r="C4120">
        <v>2100300025</v>
      </c>
      <c r="D4120">
        <v>6426000</v>
      </c>
      <c r="E4120" t="s">
        <v>188</v>
      </c>
      <c r="F4120">
        <v>5210010105</v>
      </c>
      <c r="G4120" s="13">
        <v>25680</v>
      </c>
      <c r="I4120" t="s">
        <v>179</v>
      </c>
      <c r="J4120" t="s">
        <v>566</v>
      </c>
      <c r="K4120" t="s">
        <v>180</v>
      </c>
      <c r="L4120">
        <v>200101156</v>
      </c>
    </row>
    <row r="4121" spans="3:12">
      <c r="C4121">
        <v>2100300025</v>
      </c>
      <c r="D4121">
        <v>6426000</v>
      </c>
      <c r="E4121" t="s">
        <v>188</v>
      </c>
      <c r="F4121">
        <v>5210010105</v>
      </c>
      <c r="G4121" s="13">
        <v>2677</v>
      </c>
      <c r="I4121" t="s">
        <v>179</v>
      </c>
      <c r="J4121" t="s">
        <v>963</v>
      </c>
      <c r="K4121" t="s">
        <v>180</v>
      </c>
      <c r="L4121">
        <v>200092717</v>
      </c>
    </row>
    <row r="4122" spans="3:12">
      <c r="C4122">
        <v>2100300025</v>
      </c>
      <c r="D4122">
        <v>6426000</v>
      </c>
      <c r="E4122" t="s">
        <v>188</v>
      </c>
      <c r="F4122">
        <v>5210010105</v>
      </c>
      <c r="G4122" s="13">
        <v>3700</v>
      </c>
      <c r="I4122" t="s">
        <v>179</v>
      </c>
      <c r="J4122" t="s">
        <v>964</v>
      </c>
      <c r="K4122" t="s">
        <v>180</v>
      </c>
      <c r="L4122">
        <v>200097762</v>
      </c>
    </row>
    <row r="4123" spans="3:12">
      <c r="C4123">
        <v>2100300025</v>
      </c>
      <c r="D4123">
        <v>6426000</v>
      </c>
      <c r="E4123" t="s">
        <v>188</v>
      </c>
      <c r="F4123">
        <v>5210010105</v>
      </c>
      <c r="G4123" s="13">
        <v>28000</v>
      </c>
      <c r="I4123" t="s">
        <v>179</v>
      </c>
      <c r="J4123" t="s">
        <v>853</v>
      </c>
      <c r="K4123" t="s">
        <v>180</v>
      </c>
      <c r="L4123">
        <v>200090052</v>
      </c>
    </row>
    <row r="4124" spans="3:12">
      <c r="C4124">
        <v>2100300025</v>
      </c>
      <c r="D4124">
        <v>6426000</v>
      </c>
      <c r="E4124" t="s">
        <v>188</v>
      </c>
      <c r="F4124">
        <v>5210010105</v>
      </c>
      <c r="G4124" s="13">
        <v>14100</v>
      </c>
      <c r="I4124" t="s">
        <v>179</v>
      </c>
      <c r="J4124" t="s">
        <v>965</v>
      </c>
      <c r="K4124" t="s">
        <v>180</v>
      </c>
      <c r="L4124">
        <v>200095026</v>
      </c>
    </row>
    <row r="4125" spans="3:12">
      <c r="C4125">
        <v>2100300025</v>
      </c>
      <c r="D4125">
        <v>6426000</v>
      </c>
      <c r="E4125" t="s">
        <v>188</v>
      </c>
      <c r="F4125">
        <v>5210010105</v>
      </c>
      <c r="G4125" s="13">
        <v>2770</v>
      </c>
      <c r="I4125" t="s">
        <v>179</v>
      </c>
      <c r="J4125" t="s">
        <v>965</v>
      </c>
      <c r="K4125" t="s">
        <v>180</v>
      </c>
      <c r="L4125">
        <v>200095027</v>
      </c>
    </row>
    <row r="4126" spans="3:12">
      <c r="C4126">
        <v>2100300025</v>
      </c>
      <c r="D4126">
        <v>6426000</v>
      </c>
      <c r="E4126" t="s">
        <v>188</v>
      </c>
      <c r="F4126">
        <v>5210010105</v>
      </c>
      <c r="G4126" s="13">
        <v>-4000000</v>
      </c>
      <c r="I4126" t="s">
        <v>179</v>
      </c>
      <c r="J4126" t="s">
        <v>859</v>
      </c>
      <c r="K4126" t="s">
        <v>180</v>
      </c>
      <c r="L4126">
        <v>200091980</v>
      </c>
    </row>
    <row r="4127" spans="3:12">
      <c r="C4127">
        <v>2100300025</v>
      </c>
      <c r="D4127">
        <v>6426000</v>
      </c>
      <c r="E4127" t="s">
        <v>188</v>
      </c>
      <c r="F4127">
        <v>5210010105</v>
      </c>
      <c r="G4127" s="13">
        <v>2100</v>
      </c>
      <c r="I4127" t="s">
        <v>179</v>
      </c>
      <c r="J4127" t="s">
        <v>969</v>
      </c>
      <c r="K4127" t="s">
        <v>180</v>
      </c>
      <c r="L4127">
        <v>200107306</v>
      </c>
    </row>
    <row r="4128" spans="3:12">
      <c r="C4128">
        <v>2100300025</v>
      </c>
      <c r="D4128">
        <v>6426000</v>
      </c>
      <c r="E4128" t="s">
        <v>188</v>
      </c>
      <c r="F4128">
        <v>5210010105</v>
      </c>
      <c r="G4128" s="13">
        <v>1995</v>
      </c>
      <c r="I4128" t="s">
        <v>179</v>
      </c>
      <c r="J4128" t="s">
        <v>969</v>
      </c>
      <c r="K4128" t="s">
        <v>180</v>
      </c>
      <c r="L4128">
        <v>200107085</v>
      </c>
    </row>
    <row r="4129" spans="3:12">
      <c r="C4129">
        <v>2100300025</v>
      </c>
      <c r="D4129">
        <v>6426000</v>
      </c>
      <c r="E4129" t="s">
        <v>188</v>
      </c>
      <c r="F4129">
        <v>5210010105</v>
      </c>
      <c r="G4129" s="13">
        <v>3015</v>
      </c>
      <c r="I4129" t="s">
        <v>179</v>
      </c>
      <c r="J4129" t="s">
        <v>969</v>
      </c>
      <c r="K4129" t="s">
        <v>180</v>
      </c>
      <c r="L4129">
        <v>200107086</v>
      </c>
    </row>
    <row r="4130" spans="3:12">
      <c r="C4130">
        <v>2100300025</v>
      </c>
      <c r="D4130">
        <v>6426000</v>
      </c>
      <c r="E4130" t="s">
        <v>188</v>
      </c>
      <c r="F4130">
        <v>5210010105</v>
      </c>
      <c r="G4130" s="13">
        <v>1920</v>
      </c>
      <c r="I4130" t="s">
        <v>179</v>
      </c>
      <c r="J4130" t="s">
        <v>969</v>
      </c>
      <c r="K4130" t="s">
        <v>180</v>
      </c>
      <c r="L4130">
        <v>200105776</v>
      </c>
    </row>
    <row r="4131" spans="3:12">
      <c r="C4131">
        <v>2100300025</v>
      </c>
      <c r="D4131">
        <v>6426000</v>
      </c>
      <c r="E4131" t="s">
        <v>188</v>
      </c>
      <c r="F4131">
        <v>5210010105</v>
      </c>
      <c r="G4131" s="13">
        <v>135500</v>
      </c>
      <c r="I4131" t="s">
        <v>179</v>
      </c>
      <c r="J4131" t="s">
        <v>969</v>
      </c>
      <c r="K4131" t="s">
        <v>180</v>
      </c>
      <c r="L4131">
        <v>200107090</v>
      </c>
    </row>
    <row r="4132" spans="3:12">
      <c r="C4132">
        <v>2100300025</v>
      </c>
      <c r="D4132">
        <v>6426000</v>
      </c>
      <c r="E4132" t="s">
        <v>188</v>
      </c>
      <c r="F4132">
        <v>5210010105</v>
      </c>
      <c r="G4132" s="13">
        <v>12840</v>
      </c>
      <c r="I4132" t="s">
        <v>179</v>
      </c>
      <c r="J4132" t="s">
        <v>969</v>
      </c>
      <c r="K4132" t="s">
        <v>180</v>
      </c>
      <c r="L4132">
        <v>200106607</v>
      </c>
    </row>
    <row r="4133" spans="3:12">
      <c r="C4133">
        <v>2100300025</v>
      </c>
      <c r="D4133">
        <v>6426000</v>
      </c>
      <c r="E4133" t="s">
        <v>188</v>
      </c>
      <c r="F4133">
        <v>5210010105</v>
      </c>
      <c r="G4133" s="13">
        <v>1284</v>
      </c>
      <c r="I4133" t="s">
        <v>179</v>
      </c>
      <c r="J4133" t="s">
        <v>969</v>
      </c>
      <c r="K4133" t="s">
        <v>180</v>
      </c>
      <c r="L4133">
        <v>200106531</v>
      </c>
    </row>
    <row r="4134" spans="3:12">
      <c r="C4134">
        <v>2100300025</v>
      </c>
      <c r="D4134">
        <v>6426000</v>
      </c>
      <c r="E4134" t="s">
        <v>188</v>
      </c>
      <c r="F4134">
        <v>5210010105</v>
      </c>
      <c r="G4134">
        <v>700</v>
      </c>
      <c r="I4134" t="s">
        <v>179</v>
      </c>
      <c r="J4134" t="s">
        <v>857</v>
      </c>
      <c r="K4134" t="s">
        <v>180</v>
      </c>
      <c r="L4134">
        <v>200102206</v>
      </c>
    </row>
    <row r="4135" spans="3:12">
      <c r="C4135">
        <v>2100300025</v>
      </c>
      <c r="D4135">
        <v>6426000</v>
      </c>
      <c r="E4135" t="s">
        <v>188</v>
      </c>
      <c r="F4135">
        <v>5210010105</v>
      </c>
      <c r="G4135" s="13">
        <v>20000</v>
      </c>
      <c r="I4135" t="s">
        <v>179</v>
      </c>
      <c r="J4135" t="s">
        <v>857</v>
      </c>
      <c r="K4135" t="s">
        <v>180</v>
      </c>
      <c r="L4135">
        <v>200100990</v>
      </c>
    </row>
    <row r="4136" spans="3:12">
      <c r="C4136">
        <v>2100300025</v>
      </c>
      <c r="D4136">
        <v>6426000</v>
      </c>
      <c r="E4136" t="s">
        <v>188</v>
      </c>
      <c r="F4136">
        <v>5210010105</v>
      </c>
      <c r="G4136" s="13">
        <v>1990</v>
      </c>
      <c r="I4136" t="s">
        <v>179</v>
      </c>
      <c r="J4136" t="s">
        <v>857</v>
      </c>
      <c r="K4136" t="s">
        <v>180</v>
      </c>
      <c r="L4136">
        <v>200101583</v>
      </c>
    </row>
    <row r="4137" spans="3:12">
      <c r="C4137">
        <v>2100300025</v>
      </c>
      <c r="D4137">
        <v>6426000</v>
      </c>
      <c r="E4137" t="s">
        <v>188</v>
      </c>
      <c r="F4137">
        <v>5210010105</v>
      </c>
      <c r="G4137" s="13">
        <v>4753</v>
      </c>
      <c r="I4137" t="s">
        <v>179</v>
      </c>
      <c r="J4137" t="s">
        <v>857</v>
      </c>
      <c r="K4137" t="s">
        <v>180</v>
      </c>
      <c r="L4137">
        <v>200102510</v>
      </c>
    </row>
    <row r="4138" spans="3:12">
      <c r="C4138">
        <v>2100300025</v>
      </c>
      <c r="D4138">
        <v>6426000</v>
      </c>
      <c r="E4138" t="s">
        <v>188</v>
      </c>
      <c r="F4138">
        <v>5210010105</v>
      </c>
      <c r="G4138" s="13">
        <v>1325</v>
      </c>
      <c r="I4138" t="s">
        <v>179</v>
      </c>
      <c r="J4138" t="s">
        <v>970</v>
      </c>
      <c r="K4138" t="s">
        <v>180</v>
      </c>
      <c r="L4138">
        <v>200105643</v>
      </c>
    </row>
    <row r="4139" spans="3:12">
      <c r="C4139">
        <v>2100300025</v>
      </c>
      <c r="D4139">
        <v>6426000</v>
      </c>
      <c r="E4139" t="s">
        <v>188</v>
      </c>
      <c r="F4139">
        <v>5210010105</v>
      </c>
      <c r="G4139" s="13">
        <v>2000</v>
      </c>
      <c r="I4139" t="s">
        <v>179</v>
      </c>
      <c r="J4139" t="s">
        <v>970</v>
      </c>
      <c r="K4139" t="s">
        <v>180</v>
      </c>
      <c r="L4139">
        <v>200102188</v>
      </c>
    </row>
    <row r="4140" spans="3:12">
      <c r="C4140">
        <v>2100300025</v>
      </c>
      <c r="D4140">
        <v>6426000</v>
      </c>
      <c r="E4140" t="s">
        <v>188</v>
      </c>
      <c r="F4140">
        <v>5210010105</v>
      </c>
      <c r="G4140">
        <v>160</v>
      </c>
      <c r="I4140" t="s">
        <v>179</v>
      </c>
      <c r="J4140" t="s">
        <v>970</v>
      </c>
      <c r="K4140" t="s">
        <v>180</v>
      </c>
      <c r="L4140">
        <v>200102189</v>
      </c>
    </row>
    <row r="4141" spans="3:12">
      <c r="C4141">
        <v>2100300025</v>
      </c>
      <c r="D4141">
        <v>6426000</v>
      </c>
      <c r="E4141" t="s">
        <v>188</v>
      </c>
      <c r="F4141">
        <v>5210010105</v>
      </c>
      <c r="G4141">
        <v>100</v>
      </c>
      <c r="I4141" t="s">
        <v>179</v>
      </c>
      <c r="J4141" t="s">
        <v>970</v>
      </c>
      <c r="K4141" t="s">
        <v>180</v>
      </c>
      <c r="L4141">
        <v>200102190</v>
      </c>
    </row>
    <row r="4142" spans="3:12">
      <c r="C4142">
        <v>2100300025</v>
      </c>
      <c r="D4142">
        <v>6426000</v>
      </c>
      <c r="E4142" t="s">
        <v>188</v>
      </c>
      <c r="F4142">
        <v>5210010105</v>
      </c>
      <c r="G4142" s="13">
        <v>4150</v>
      </c>
      <c r="I4142" t="s">
        <v>179</v>
      </c>
      <c r="J4142" t="s">
        <v>970</v>
      </c>
      <c r="K4142" t="s">
        <v>180</v>
      </c>
      <c r="L4142">
        <v>200102191</v>
      </c>
    </row>
    <row r="4143" spans="3:12">
      <c r="C4143">
        <v>2100300025</v>
      </c>
      <c r="D4143">
        <v>6426000</v>
      </c>
      <c r="E4143" t="s">
        <v>188</v>
      </c>
      <c r="F4143">
        <v>5210010105</v>
      </c>
      <c r="G4143">
        <v>551.04999999999995</v>
      </c>
      <c r="I4143" t="s">
        <v>179</v>
      </c>
      <c r="J4143" t="s">
        <v>970</v>
      </c>
      <c r="K4143" t="s">
        <v>180</v>
      </c>
      <c r="L4143">
        <v>200102374</v>
      </c>
    </row>
    <row r="4144" spans="3:12">
      <c r="C4144">
        <v>2100300025</v>
      </c>
      <c r="D4144">
        <v>6426000</v>
      </c>
      <c r="E4144" t="s">
        <v>188</v>
      </c>
      <c r="F4144">
        <v>5210010105</v>
      </c>
      <c r="G4144" s="13">
        <v>12700</v>
      </c>
      <c r="I4144" t="s">
        <v>179</v>
      </c>
      <c r="J4144" t="s">
        <v>970</v>
      </c>
      <c r="K4144" t="s">
        <v>180</v>
      </c>
      <c r="L4144">
        <v>200102375</v>
      </c>
    </row>
    <row r="4145" spans="3:12">
      <c r="C4145">
        <v>2100300025</v>
      </c>
      <c r="D4145">
        <v>6426000</v>
      </c>
      <c r="E4145" t="s">
        <v>188</v>
      </c>
      <c r="F4145">
        <v>5210010105</v>
      </c>
      <c r="G4145" s="13">
        <v>4675</v>
      </c>
      <c r="I4145" t="s">
        <v>179</v>
      </c>
      <c r="J4145" t="s">
        <v>970</v>
      </c>
      <c r="K4145" t="s">
        <v>180</v>
      </c>
      <c r="L4145">
        <v>200103293</v>
      </c>
    </row>
    <row r="4146" spans="3:12">
      <c r="C4146">
        <v>2100300025</v>
      </c>
      <c r="D4146">
        <v>6426000</v>
      </c>
      <c r="E4146" t="s">
        <v>188</v>
      </c>
      <c r="F4146">
        <v>5210010105</v>
      </c>
      <c r="G4146" s="13">
        <v>2250</v>
      </c>
      <c r="I4146" t="s">
        <v>179</v>
      </c>
      <c r="J4146" t="s">
        <v>970</v>
      </c>
      <c r="K4146" t="s">
        <v>180</v>
      </c>
      <c r="L4146">
        <v>200106506</v>
      </c>
    </row>
    <row r="4147" spans="3:12">
      <c r="C4147">
        <v>2100300025</v>
      </c>
      <c r="D4147">
        <v>6426000</v>
      </c>
      <c r="E4147" t="s">
        <v>188</v>
      </c>
      <c r="F4147">
        <v>5210010105</v>
      </c>
      <c r="G4147" s="13">
        <v>194427</v>
      </c>
      <c r="I4147" t="s">
        <v>179</v>
      </c>
      <c r="J4147" t="s">
        <v>970</v>
      </c>
      <c r="K4147" t="s">
        <v>180</v>
      </c>
      <c r="L4147">
        <v>200102377</v>
      </c>
    </row>
    <row r="4148" spans="3:12">
      <c r="C4148">
        <v>2100300025</v>
      </c>
      <c r="D4148">
        <v>6426000</v>
      </c>
      <c r="E4148" t="s">
        <v>188</v>
      </c>
      <c r="F4148">
        <v>5210010105</v>
      </c>
      <c r="G4148" s="13">
        <v>4000000</v>
      </c>
      <c r="I4148" t="s">
        <v>179</v>
      </c>
      <c r="J4148" t="s">
        <v>857</v>
      </c>
      <c r="K4148" t="s">
        <v>180</v>
      </c>
      <c r="L4148">
        <v>200100976</v>
      </c>
    </row>
    <row r="4149" spans="3:12">
      <c r="C4149">
        <v>2100300025</v>
      </c>
      <c r="D4149">
        <v>6426000</v>
      </c>
      <c r="E4149" t="s">
        <v>188</v>
      </c>
      <c r="F4149">
        <v>5210010105</v>
      </c>
      <c r="G4149" s="13">
        <v>2500</v>
      </c>
      <c r="I4149" t="s">
        <v>179</v>
      </c>
      <c r="J4149" t="s">
        <v>858</v>
      </c>
      <c r="K4149" t="s">
        <v>180</v>
      </c>
      <c r="L4149">
        <v>200110285</v>
      </c>
    </row>
    <row r="4150" spans="3:12">
      <c r="C4150">
        <v>2100300025</v>
      </c>
      <c r="D4150">
        <v>6426000</v>
      </c>
      <c r="E4150" t="s">
        <v>188</v>
      </c>
      <c r="F4150">
        <v>5210010105</v>
      </c>
      <c r="G4150">
        <v>900</v>
      </c>
      <c r="I4150" t="s">
        <v>179</v>
      </c>
      <c r="J4150" t="s">
        <v>858</v>
      </c>
      <c r="K4150" t="s">
        <v>180</v>
      </c>
      <c r="L4150">
        <v>200110286</v>
      </c>
    </row>
    <row r="4151" spans="3:12">
      <c r="C4151">
        <v>2100300025</v>
      </c>
      <c r="D4151">
        <v>6426000</v>
      </c>
      <c r="E4151" t="s">
        <v>188</v>
      </c>
      <c r="F4151">
        <v>5210010105</v>
      </c>
      <c r="G4151">
        <v>425</v>
      </c>
      <c r="I4151" t="s">
        <v>179</v>
      </c>
      <c r="J4151" t="s">
        <v>858</v>
      </c>
      <c r="K4151" t="s">
        <v>180</v>
      </c>
      <c r="L4151">
        <v>200110287</v>
      </c>
    </row>
    <row r="4152" spans="3:12">
      <c r="C4152">
        <v>2100300025</v>
      </c>
      <c r="D4152">
        <v>6426000</v>
      </c>
      <c r="E4152" t="s">
        <v>188</v>
      </c>
      <c r="F4152">
        <v>5210010105</v>
      </c>
      <c r="G4152" s="13">
        <v>53339.5</v>
      </c>
      <c r="I4152" t="s">
        <v>179</v>
      </c>
      <c r="J4152" t="s">
        <v>858</v>
      </c>
      <c r="K4152" t="s">
        <v>180</v>
      </c>
      <c r="L4152">
        <v>200110288</v>
      </c>
    </row>
    <row r="4153" spans="3:12">
      <c r="C4153">
        <v>2100300025</v>
      </c>
      <c r="D4153">
        <v>6426000</v>
      </c>
      <c r="E4153" t="s">
        <v>188</v>
      </c>
      <c r="F4153">
        <v>5210010105</v>
      </c>
      <c r="G4153">
        <v>426.93</v>
      </c>
      <c r="I4153" t="s">
        <v>179</v>
      </c>
      <c r="J4153" t="s">
        <v>971</v>
      </c>
      <c r="K4153" t="s">
        <v>180</v>
      </c>
      <c r="L4153">
        <v>200102997</v>
      </c>
    </row>
    <row r="4154" spans="3:12">
      <c r="C4154">
        <v>2100300025</v>
      </c>
      <c r="D4154">
        <v>6426000</v>
      </c>
      <c r="E4154" t="s">
        <v>188</v>
      </c>
      <c r="F4154">
        <v>5210010105</v>
      </c>
      <c r="G4154" s="13">
        <v>2000</v>
      </c>
      <c r="I4154" t="s">
        <v>179</v>
      </c>
      <c r="J4154" t="s">
        <v>971</v>
      </c>
      <c r="K4154" t="s">
        <v>180</v>
      </c>
      <c r="L4154">
        <v>200102998</v>
      </c>
    </row>
    <row r="4155" spans="3:12">
      <c r="C4155">
        <v>2100300025</v>
      </c>
      <c r="D4155">
        <v>6426000</v>
      </c>
      <c r="E4155" t="s">
        <v>188</v>
      </c>
      <c r="F4155">
        <v>5210010105</v>
      </c>
      <c r="G4155" s="13">
        <v>1284</v>
      </c>
      <c r="I4155" t="s">
        <v>179</v>
      </c>
      <c r="J4155" t="s">
        <v>859</v>
      </c>
      <c r="K4155" t="s">
        <v>180</v>
      </c>
      <c r="L4155">
        <v>200101348</v>
      </c>
    </row>
    <row r="4156" spans="3:12">
      <c r="C4156">
        <v>2100300025</v>
      </c>
      <c r="D4156">
        <v>6426000</v>
      </c>
      <c r="E4156" t="s">
        <v>188</v>
      </c>
      <c r="F4156">
        <v>5210010105</v>
      </c>
      <c r="G4156" s="13">
        <v>12840</v>
      </c>
      <c r="I4156" t="s">
        <v>179</v>
      </c>
      <c r="J4156" t="s">
        <v>859</v>
      </c>
      <c r="K4156" t="s">
        <v>180</v>
      </c>
      <c r="L4156">
        <v>200091187</v>
      </c>
    </row>
    <row r="4157" spans="3:12">
      <c r="C4157">
        <v>2100300025</v>
      </c>
      <c r="D4157">
        <v>6426000</v>
      </c>
      <c r="E4157" t="s">
        <v>188</v>
      </c>
      <c r="F4157">
        <v>5210010105</v>
      </c>
      <c r="G4157" s="13">
        <v>1390</v>
      </c>
      <c r="I4157" t="s">
        <v>179</v>
      </c>
      <c r="J4157" t="s">
        <v>859</v>
      </c>
      <c r="K4157" t="s">
        <v>180</v>
      </c>
      <c r="L4157">
        <v>200101351</v>
      </c>
    </row>
    <row r="4158" spans="3:12">
      <c r="C4158">
        <v>2100300025</v>
      </c>
      <c r="D4158">
        <v>6426000</v>
      </c>
      <c r="E4158" t="s">
        <v>188</v>
      </c>
      <c r="F4158">
        <v>5210010105</v>
      </c>
      <c r="G4158">
        <v>780</v>
      </c>
      <c r="I4158" t="s">
        <v>179</v>
      </c>
      <c r="J4158" t="s">
        <v>859</v>
      </c>
      <c r="K4158" t="s">
        <v>180</v>
      </c>
      <c r="L4158">
        <v>200101352</v>
      </c>
    </row>
    <row r="4159" spans="3:12">
      <c r="C4159">
        <v>2100300025</v>
      </c>
      <c r="D4159">
        <v>6426000</v>
      </c>
      <c r="E4159" t="s">
        <v>188</v>
      </c>
      <c r="F4159">
        <v>5210010105</v>
      </c>
      <c r="G4159">
        <v>300</v>
      </c>
      <c r="I4159" t="s">
        <v>179</v>
      </c>
      <c r="J4159" t="s">
        <v>859</v>
      </c>
      <c r="K4159" t="s">
        <v>180</v>
      </c>
      <c r="L4159">
        <v>200091195</v>
      </c>
    </row>
    <row r="4160" spans="3:12">
      <c r="C4160">
        <v>2100300025</v>
      </c>
      <c r="D4160">
        <v>6426000</v>
      </c>
      <c r="E4160" t="s">
        <v>188</v>
      </c>
      <c r="F4160">
        <v>5210010105</v>
      </c>
      <c r="G4160" s="13">
        <v>2887</v>
      </c>
      <c r="I4160" t="s">
        <v>179</v>
      </c>
      <c r="J4160" t="s">
        <v>859</v>
      </c>
      <c r="K4160" t="s">
        <v>180</v>
      </c>
      <c r="L4160">
        <v>200091196</v>
      </c>
    </row>
    <row r="4161" spans="3:12">
      <c r="C4161">
        <v>2100300025</v>
      </c>
      <c r="D4161">
        <v>6426000</v>
      </c>
      <c r="E4161" t="s">
        <v>188</v>
      </c>
      <c r="F4161">
        <v>5210010105</v>
      </c>
      <c r="G4161" s="13">
        <v>1940</v>
      </c>
      <c r="I4161" t="s">
        <v>179</v>
      </c>
      <c r="J4161" t="s">
        <v>859</v>
      </c>
      <c r="K4161" t="s">
        <v>180</v>
      </c>
      <c r="L4161">
        <v>200101550</v>
      </c>
    </row>
    <row r="4162" spans="3:12">
      <c r="C4162">
        <v>2100300025</v>
      </c>
      <c r="D4162">
        <v>6426000</v>
      </c>
      <c r="E4162" t="s">
        <v>188</v>
      </c>
      <c r="F4162">
        <v>5210010105</v>
      </c>
      <c r="G4162" s="13">
        <v>6000</v>
      </c>
      <c r="I4162" t="s">
        <v>179</v>
      </c>
      <c r="J4162" t="s">
        <v>859</v>
      </c>
      <c r="K4162" t="s">
        <v>180</v>
      </c>
      <c r="L4162">
        <v>200101371</v>
      </c>
    </row>
    <row r="4163" spans="3:12">
      <c r="C4163">
        <v>2100300025</v>
      </c>
      <c r="D4163">
        <v>6426000</v>
      </c>
      <c r="E4163" t="s">
        <v>188</v>
      </c>
      <c r="F4163">
        <v>5210010105</v>
      </c>
      <c r="G4163" s="13">
        <v>3925</v>
      </c>
      <c r="I4163" t="s">
        <v>179</v>
      </c>
      <c r="J4163" t="s">
        <v>859</v>
      </c>
      <c r="K4163" t="s">
        <v>180</v>
      </c>
      <c r="L4163">
        <v>200101552</v>
      </c>
    </row>
    <row r="4164" spans="3:12">
      <c r="C4164">
        <v>2100300025</v>
      </c>
      <c r="D4164">
        <v>6426000</v>
      </c>
      <c r="E4164" t="s">
        <v>188</v>
      </c>
      <c r="F4164">
        <v>5210010105</v>
      </c>
      <c r="G4164" s="13">
        <v>2000</v>
      </c>
      <c r="I4164" t="s">
        <v>179</v>
      </c>
      <c r="J4164" t="s">
        <v>859</v>
      </c>
      <c r="K4164" t="s">
        <v>180</v>
      </c>
      <c r="L4164">
        <v>200101372</v>
      </c>
    </row>
    <row r="4165" spans="3:12">
      <c r="C4165">
        <v>2100300025</v>
      </c>
      <c r="D4165">
        <v>6426000</v>
      </c>
      <c r="E4165" t="s">
        <v>188</v>
      </c>
      <c r="F4165">
        <v>5210010105</v>
      </c>
      <c r="G4165" s="13">
        <v>1600</v>
      </c>
      <c r="I4165" t="s">
        <v>179</v>
      </c>
      <c r="J4165" t="s">
        <v>859</v>
      </c>
      <c r="K4165" t="s">
        <v>180</v>
      </c>
      <c r="L4165">
        <v>200101373</v>
      </c>
    </row>
    <row r="4166" spans="3:12">
      <c r="C4166">
        <v>2100300025</v>
      </c>
      <c r="D4166">
        <v>6426000</v>
      </c>
      <c r="E4166" t="s">
        <v>188</v>
      </c>
      <c r="F4166">
        <v>5210010105</v>
      </c>
      <c r="G4166" s="13">
        <v>46000</v>
      </c>
      <c r="I4166" t="s">
        <v>179</v>
      </c>
      <c r="J4166" t="s">
        <v>859</v>
      </c>
      <c r="K4166" t="s">
        <v>180</v>
      </c>
      <c r="L4166">
        <v>200101374</v>
      </c>
    </row>
    <row r="4167" spans="3:12">
      <c r="C4167">
        <v>2100300025</v>
      </c>
      <c r="D4167">
        <v>6426000</v>
      </c>
      <c r="E4167" t="s">
        <v>188</v>
      </c>
      <c r="F4167">
        <v>5210010105</v>
      </c>
      <c r="G4167" s="13">
        <v>16470</v>
      </c>
      <c r="I4167" t="s">
        <v>179</v>
      </c>
      <c r="J4167" t="s">
        <v>859</v>
      </c>
      <c r="K4167" t="s">
        <v>180</v>
      </c>
      <c r="L4167">
        <v>200075000</v>
      </c>
    </row>
    <row r="4168" spans="3:12">
      <c r="C4168">
        <v>2100300025</v>
      </c>
      <c r="D4168">
        <v>6426000</v>
      </c>
      <c r="E4168" t="s">
        <v>188</v>
      </c>
      <c r="F4168">
        <v>5210010105</v>
      </c>
      <c r="G4168" s="13">
        <v>37400</v>
      </c>
      <c r="I4168" t="s">
        <v>179</v>
      </c>
      <c r="J4168" t="s">
        <v>859</v>
      </c>
      <c r="K4168" t="s">
        <v>180</v>
      </c>
      <c r="L4168">
        <v>200101801</v>
      </c>
    </row>
    <row r="4169" spans="3:12">
      <c r="C4169">
        <v>2100300025</v>
      </c>
      <c r="D4169">
        <v>6426000</v>
      </c>
      <c r="E4169" t="s">
        <v>188</v>
      </c>
      <c r="F4169">
        <v>5210010105</v>
      </c>
      <c r="G4169" s="13">
        <v>16250</v>
      </c>
      <c r="I4169" t="s">
        <v>179</v>
      </c>
      <c r="J4169" t="s">
        <v>859</v>
      </c>
      <c r="K4169" t="s">
        <v>180</v>
      </c>
      <c r="L4169">
        <v>200101802</v>
      </c>
    </row>
    <row r="4170" spans="3:12">
      <c r="C4170">
        <v>2100300025</v>
      </c>
      <c r="D4170">
        <v>6426000</v>
      </c>
      <c r="E4170" t="s">
        <v>188</v>
      </c>
      <c r="F4170">
        <v>5210010105</v>
      </c>
      <c r="G4170" s="13">
        <v>12500</v>
      </c>
      <c r="I4170" t="s">
        <v>179</v>
      </c>
      <c r="J4170" t="s">
        <v>859</v>
      </c>
      <c r="K4170" t="s">
        <v>180</v>
      </c>
      <c r="L4170">
        <v>200101803</v>
      </c>
    </row>
    <row r="4171" spans="3:12">
      <c r="C4171">
        <v>2100300025</v>
      </c>
      <c r="D4171">
        <v>6426000</v>
      </c>
      <c r="E4171" t="s">
        <v>188</v>
      </c>
      <c r="F4171">
        <v>5210010105</v>
      </c>
      <c r="G4171" s="13">
        <v>32500</v>
      </c>
      <c r="I4171" t="s">
        <v>179</v>
      </c>
      <c r="J4171" t="s">
        <v>859</v>
      </c>
      <c r="K4171" t="s">
        <v>180</v>
      </c>
      <c r="L4171">
        <v>200100960</v>
      </c>
    </row>
    <row r="4172" spans="3:12">
      <c r="C4172">
        <v>2100300025</v>
      </c>
      <c r="D4172">
        <v>6426000</v>
      </c>
      <c r="E4172" t="s">
        <v>188</v>
      </c>
      <c r="F4172">
        <v>5210010105</v>
      </c>
      <c r="G4172" s="13">
        <v>25400</v>
      </c>
      <c r="I4172" t="s">
        <v>179</v>
      </c>
      <c r="J4172" t="s">
        <v>859</v>
      </c>
      <c r="K4172" t="s">
        <v>180</v>
      </c>
      <c r="L4172">
        <v>200100961</v>
      </c>
    </row>
    <row r="4173" spans="3:12">
      <c r="C4173">
        <v>2100300025</v>
      </c>
      <c r="D4173">
        <v>6426000</v>
      </c>
      <c r="E4173" t="s">
        <v>188</v>
      </c>
      <c r="F4173">
        <v>5210010105</v>
      </c>
      <c r="G4173" s="13">
        <v>89760</v>
      </c>
      <c r="I4173" t="s">
        <v>179</v>
      </c>
      <c r="J4173" t="s">
        <v>972</v>
      </c>
      <c r="K4173" t="s">
        <v>180</v>
      </c>
      <c r="L4173">
        <v>200103258</v>
      </c>
    </row>
    <row r="4174" spans="3:12">
      <c r="C4174">
        <v>2100300025</v>
      </c>
      <c r="D4174">
        <v>6426000</v>
      </c>
      <c r="E4174" t="s">
        <v>188</v>
      </c>
      <c r="F4174">
        <v>5210010105</v>
      </c>
      <c r="G4174" s="13">
        <v>1293686.25</v>
      </c>
      <c r="I4174" t="s">
        <v>179</v>
      </c>
      <c r="J4174" t="s">
        <v>972</v>
      </c>
      <c r="K4174" t="s">
        <v>180</v>
      </c>
      <c r="L4174">
        <v>200103259</v>
      </c>
    </row>
    <row r="4175" spans="3:12">
      <c r="C4175">
        <v>2100300025</v>
      </c>
      <c r="D4175">
        <v>6426000</v>
      </c>
      <c r="E4175" t="s">
        <v>188</v>
      </c>
      <c r="F4175">
        <v>5210010105</v>
      </c>
      <c r="G4175" s="13">
        <v>1284</v>
      </c>
      <c r="I4175" t="s">
        <v>179</v>
      </c>
      <c r="J4175" t="s">
        <v>973</v>
      </c>
      <c r="K4175" t="s">
        <v>180</v>
      </c>
      <c r="L4175">
        <v>200109839</v>
      </c>
    </row>
    <row r="4176" spans="3:12">
      <c r="C4176">
        <v>2100300025</v>
      </c>
      <c r="D4176">
        <v>6426000</v>
      </c>
      <c r="E4176" t="s">
        <v>188</v>
      </c>
      <c r="F4176">
        <v>5210010105</v>
      </c>
      <c r="G4176" s="13">
        <v>1400</v>
      </c>
      <c r="I4176" t="s">
        <v>179</v>
      </c>
      <c r="J4176" t="s">
        <v>973</v>
      </c>
      <c r="K4176" t="s">
        <v>180</v>
      </c>
      <c r="L4176">
        <v>200109754</v>
      </c>
    </row>
    <row r="4177" spans="3:12">
      <c r="C4177">
        <v>2100300025</v>
      </c>
      <c r="D4177">
        <v>6426000</v>
      </c>
      <c r="E4177" t="s">
        <v>188</v>
      </c>
      <c r="F4177">
        <v>5210010105</v>
      </c>
      <c r="G4177" s="13">
        <v>5487</v>
      </c>
      <c r="I4177" t="s">
        <v>179</v>
      </c>
      <c r="J4177" t="s">
        <v>973</v>
      </c>
      <c r="K4177" t="s">
        <v>180</v>
      </c>
      <c r="L4177">
        <v>200109846</v>
      </c>
    </row>
    <row r="4178" spans="3:12">
      <c r="C4178">
        <v>2100300025</v>
      </c>
      <c r="D4178">
        <v>6426000</v>
      </c>
      <c r="E4178" t="s">
        <v>188</v>
      </c>
      <c r="F4178">
        <v>5210010105</v>
      </c>
      <c r="G4178" s="13">
        <v>62763.37</v>
      </c>
      <c r="I4178" t="s">
        <v>179</v>
      </c>
      <c r="J4178" t="s">
        <v>973</v>
      </c>
      <c r="K4178" t="s">
        <v>180</v>
      </c>
      <c r="L4178">
        <v>200109847</v>
      </c>
    </row>
    <row r="4179" spans="3:12">
      <c r="C4179">
        <v>2100300025</v>
      </c>
      <c r="D4179">
        <v>6426000</v>
      </c>
      <c r="E4179" t="s">
        <v>188</v>
      </c>
      <c r="F4179">
        <v>5210010105</v>
      </c>
      <c r="G4179" s="13">
        <v>56000</v>
      </c>
      <c r="I4179" t="s">
        <v>179</v>
      </c>
      <c r="J4179" t="s">
        <v>860</v>
      </c>
      <c r="K4179" t="s">
        <v>180</v>
      </c>
      <c r="L4179">
        <v>200101116</v>
      </c>
    </row>
    <row r="4180" spans="3:12">
      <c r="C4180">
        <v>2100300025</v>
      </c>
      <c r="D4180">
        <v>6426000</v>
      </c>
      <c r="E4180" t="s">
        <v>188</v>
      </c>
      <c r="F4180">
        <v>5210010105</v>
      </c>
      <c r="G4180">
        <v>375</v>
      </c>
      <c r="I4180" t="s">
        <v>179</v>
      </c>
      <c r="J4180" t="s">
        <v>860</v>
      </c>
      <c r="K4180" t="s">
        <v>180</v>
      </c>
      <c r="L4180">
        <v>200101117</v>
      </c>
    </row>
    <row r="4181" spans="3:12">
      <c r="C4181">
        <v>2100300025</v>
      </c>
      <c r="D4181">
        <v>6426000</v>
      </c>
      <c r="E4181" t="s">
        <v>188</v>
      </c>
      <c r="F4181">
        <v>5210010105</v>
      </c>
      <c r="G4181" s="13">
        <v>2080</v>
      </c>
      <c r="I4181" t="s">
        <v>179</v>
      </c>
      <c r="J4181" t="s">
        <v>972</v>
      </c>
      <c r="K4181" t="s">
        <v>180</v>
      </c>
      <c r="L4181">
        <v>200104740</v>
      </c>
    </row>
    <row r="4182" spans="3:12">
      <c r="C4182">
        <v>2100300025</v>
      </c>
      <c r="D4182">
        <v>6426000</v>
      </c>
      <c r="E4182" t="s">
        <v>188</v>
      </c>
      <c r="F4182">
        <v>5210010105</v>
      </c>
      <c r="G4182" s="13">
        <v>11647.5</v>
      </c>
      <c r="I4182" t="s">
        <v>179</v>
      </c>
      <c r="J4182" t="s">
        <v>972</v>
      </c>
      <c r="K4182" t="s">
        <v>180</v>
      </c>
      <c r="L4182">
        <v>200104510</v>
      </c>
    </row>
    <row r="4183" spans="3:12">
      <c r="C4183">
        <v>2100300025</v>
      </c>
      <c r="D4183">
        <v>6426000</v>
      </c>
      <c r="E4183" t="s">
        <v>188</v>
      </c>
      <c r="F4183">
        <v>5210010105</v>
      </c>
      <c r="G4183" s="13">
        <v>6000</v>
      </c>
      <c r="I4183" t="s">
        <v>179</v>
      </c>
      <c r="J4183" t="s">
        <v>972</v>
      </c>
      <c r="K4183" t="s">
        <v>180</v>
      </c>
      <c r="L4183">
        <v>200104741</v>
      </c>
    </row>
    <row r="4184" spans="3:12">
      <c r="C4184">
        <v>2100300025</v>
      </c>
      <c r="D4184">
        <v>6426000</v>
      </c>
      <c r="E4184" t="s">
        <v>188</v>
      </c>
      <c r="F4184">
        <v>5210010105</v>
      </c>
      <c r="G4184" s="13">
        <v>2640</v>
      </c>
      <c r="I4184" t="s">
        <v>179</v>
      </c>
      <c r="J4184" t="s">
        <v>973</v>
      </c>
      <c r="K4184" t="s">
        <v>180</v>
      </c>
      <c r="L4184">
        <v>200109934</v>
      </c>
    </row>
    <row r="4185" spans="3:12">
      <c r="C4185">
        <v>2100300025</v>
      </c>
      <c r="D4185">
        <v>6426000</v>
      </c>
      <c r="E4185" t="s">
        <v>188</v>
      </c>
      <c r="F4185">
        <v>5210010105</v>
      </c>
      <c r="G4185" s="13">
        <v>7200</v>
      </c>
      <c r="I4185" t="s">
        <v>179</v>
      </c>
      <c r="J4185" t="s">
        <v>973</v>
      </c>
      <c r="K4185" t="s">
        <v>180</v>
      </c>
      <c r="L4185">
        <v>200109935</v>
      </c>
    </row>
    <row r="4186" spans="3:12">
      <c r="C4186">
        <v>2100300025</v>
      </c>
      <c r="D4186">
        <v>6426000</v>
      </c>
      <c r="E4186" t="s">
        <v>188</v>
      </c>
      <c r="F4186">
        <v>5210010105</v>
      </c>
      <c r="G4186" s="13">
        <v>3230</v>
      </c>
      <c r="I4186" t="s">
        <v>179</v>
      </c>
      <c r="J4186" t="s">
        <v>973</v>
      </c>
      <c r="K4186" t="s">
        <v>180</v>
      </c>
      <c r="L4186">
        <v>200109936</v>
      </c>
    </row>
    <row r="4187" spans="3:12">
      <c r="C4187">
        <v>2100300025</v>
      </c>
      <c r="D4187">
        <v>6426000</v>
      </c>
      <c r="E4187" t="s">
        <v>188</v>
      </c>
      <c r="F4187">
        <v>5210010105</v>
      </c>
      <c r="G4187" s="13">
        <v>124600</v>
      </c>
      <c r="I4187" t="s">
        <v>179</v>
      </c>
      <c r="J4187" t="s">
        <v>860</v>
      </c>
      <c r="K4187" t="s">
        <v>180</v>
      </c>
      <c r="L4187">
        <v>200101221</v>
      </c>
    </row>
    <row r="4188" spans="3:12">
      <c r="C4188">
        <v>2100300025</v>
      </c>
      <c r="D4188">
        <v>6426000</v>
      </c>
      <c r="E4188" t="s">
        <v>188</v>
      </c>
      <c r="F4188">
        <v>5210010105</v>
      </c>
      <c r="G4188" s="13">
        <v>41944</v>
      </c>
      <c r="I4188" t="s">
        <v>179</v>
      </c>
      <c r="J4188" t="s">
        <v>860</v>
      </c>
      <c r="K4188" t="s">
        <v>180</v>
      </c>
      <c r="L4188">
        <v>200101057</v>
      </c>
    </row>
    <row r="4189" spans="3:12">
      <c r="C4189">
        <v>2100300025</v>
      </c>
      <c r="D4189">
        <v>6426000</v>
      </c>
      <c r="E4189" t="s">
        <v>188</v>
      </c>
      <c r="F4189">
        <v>5210010105</v>
      </c>
      <c r="G4189" s="13">
        <v>2354</v>
      </c>
      <c r="I4189" t="s">
        <v>179</v>
      </c>
      <c r="J4189" t="s">
        <v>969</v>
      </c>
      <c r="K4189" t="s">
        <v>180</v>
      </c>
      <c r="L4189">
        <v>200107083</v>
      </c>
    </row>
    <row r="4190" spans="3:12">
      <c r="C4190">
        <v>2100300025</v>
      </c>
      <c r="D4190">
        <v>6426000</v>
      </c>
      <c r="E4190" t="s">
        <v>188</v>
      </c>
      <c r="F4190">
        <v>5210010105</v>
      </c>
      <c r="G4190" s="13">
        <v>2396.8000000000002</v>
      </c>
      <c r="I4190" t="s">
        <v>179</v>
      </c>
      <c r="J4190" t="s">
        <v>964</v>
      </c>
      <c r="K4190" t="s">
        <v>180</v>
      </c>
      <c r="L4190">
        <v>200098025</v>
      </c>
    </row>
    <row r="4191" spans="3:12">
      <c r="C4191">
        <v>2100300025</v>
      </c>
      <c r="D4191">
        <v>6426000</v>
      </c>
      <c r="E4191" t="s">
        <v>188</v>
      </c>
      <c r="F4191">
        <v>5210010105</v>
      </c>
      <c r="G4191" s="13">
        <v>6955</v>
      </c>
      <c r="I4191" t="s">
        <v>179</v>
      </c>
      <c r="J4191" t="s">
        <v>964</v>
      </c>
      <c r="K4191" t="s">
        <v>180</v>
      </c>
      <c r="L4191">
        <v>200098026</v>
      </c>
    </row>
    <row r="4192" spans="3:12">
      <c r="C4192">
        <v>2100300025</v>
      </c>
      <c r="D4192">
        <v>6426000</v>
      </c>
      <c r="E4192" t="s">
        <v>188</v>
      </c>
      <c r="F4192">
        <v>5210010105</v>
      </c>
      <c r="G4192" s="13">
        <v>9000</v>
      </c>
      <c r="I4192" t="s">
        <v>179</v>
      </c>
      <c r="J4192" t="s">
        <v>964</v>
      </c>
      <c r="K4192" t="s">
        <v>180</v>
      </c>
      <c r="L4192">
        <v>200097697</v>
      </c>
    </row>
    <row r="4193" spans="3:12">
      <c r="C4193">
        <v>2100300025</v>
      </c>
      <c r="D4193">
        <v>6426000</v>
      </c>
      <c r="E4193" t="s">
        <v>188</v>
      </c>
      <c r="F4193">
        <v>5210010105</v>
      </c>
      <c r="G4193" s="13">
        <v>35000</v>
      </c>
      <c r="I4193" t="s">
        <v>179</v>
      </c>
      <c r="J4193" t="s">
        <v>964</v>
      </c>
      <c r="K4193" t="s">
        <v>180</v>
      </c>
      <c r="L4193">
        <v>200097933</v>
      </c>
    </row>
    <row r="4194" spans="3:12">
      <c r="C4194">
        <v>2100300025</v>
      </c>
      <c r="D4194">
        <v>6426000</v>
      </c>
      <c r="E4194" t="s">
        <v>188</v>
      </c>
      <c r="F4194">
        <v>5210010105</v>
      </c>
      <c r="G4194" s="13">
        <v>54400</v>
      </c>
      <c r="I4194" t="s">
        <v>179</v>
      </c>
      <c r="J4194" t="s">
        <v>964</v>
      </c>
      <c r="K4194" t="s">
        <v>180</v>
      </c>
      <c r="L4194">
        <v>200097698</v>
      </c>
    </row>
    <row r="4195" spans="3:12">
      <c r="C4195">
        <v>2100300025</v>
      </c>
      <c r="D4195">
        <v>6426000</v>
      </c>
      <c r="E4195" t="s">
        <v>188</v>
      </c>
      <c r="F4195">
        <v>5210010105</v>
      </c>
      <c r="G4195" s="13">
        <v>434377</v>
      </c>
      <c r="I4195" t="s">
        <v>179</v>
      </c>
      <c r="J4195" t="s">
        <v>964</v>
      </c>
      <c r="K4195" t="s">
        <v>180</v>
      </c>
      <c r="L4195">
        <v>200097757</v>
      </c>
    </row>
    <row r="4196" spans="3:12">
      <c r="C4196">
        <v>2100300025</v>
      </c>
      <c r="D4196">
        <v>6426000</v>
      </c>
      <c r="E4196" t="s">
        <v>188</v>
      </c>
      <c r="F4196">
        <v>5210010105</v>
      </c>
      <c r="G4196" s="13">
        <v>16500</v>
      </c>
      <c r="I4196" t="s">
        <v>179</v>
      </c>
      <c r="J4196" t="s">
        <v>853</v>
      </c>
      <c r="K4196" t="s">
        <v>180</v>
      </c>
      <c r="L4196">
        <v>200089651</v>
      </c>
    </row>
    <row r="4197" spans="3:12">
      <c r="C4197">
        <v>2100300025</v>
      </c>
      <c r="D4197">
        <v>6426000</v>
      </c>
      <c r="E4197" t="s">
        <v>188</v>
      </c>
      <c r="F4197">
        <v>5210010105</v>
      </c>
      <c r="G4197" s="13">
        <v>12500</v>
      </c>
      <c r="I4197" t="s">
        <v>179</v>
      </c>
      <c r="J4197" t="s">
        <v>853</v>
      </c>
      <c r="K4197" t="s">
        <v>180</v>
      </c>
      <c r="L4197">
        <v>200089652</v>
      </c>
    </row>
    <row r="4198" spans="3:12">
      <c r="C4198">
        <v>2100300025</v>
      </c>
      <c r="D4198">
        <v>6426000</v>
      </c>
      <c r="E4198" t="s">
        <v>188</v>
      </c>
      <c r="F4198">
        <v>5210010105</v>
      </c>
      <c r="G4198" s="13">
        <v>15000</v>
      </c>
      <c r="I4198" t="s">
        <v>179</v>
      </c>
      <c r="J4198" t="s">
        <v>854</v>
      </c>
      <c r="K4198" t="s">
        <v>180</v>
      </c>
      <c r="L4198">
        <v>200090895</v>
      </c>
    </row>
    <row r="4199" spans="3:12">
      <c r="C4199">
        <v>2100300025</v>
      </c>
      <c r="D4199">
        <v>6426000</v>
      </c>
      <c r="E4199" t="s">
        <v>188</v>
      </c>
      <c r="F4199">
        <v>5210010105</v>
      </c>
      <c r="G4199" s="13">
        <v>9400</v>
      </c>
      <c r="I4199" t="s">
        <v>179</v>
      </c>
      <c r="J4199" t="s">
        <v>854</v>
      </c>
      <c r="K4199" t="s">
        <v>180</v>
      </c>
      <c r="L4199">
        <v>200090896</v>
      </c>
    </row>
    <row r="4200" spans="3:12">
      <c r="C4200">
        <v>2100300025</v>
      </c>
      <c r="D4200">
        <v>6426000</v>
      </c>
      <c r="E4200" t="s">
        <v>188</v>
      </c>
      <c r="F4200">
        <v>5210010105</v>
      </c>
      <c r="G4200" s="13">
        <v>28000</v>
      </c>
      <c r="I4200" t="s">
        <v>179</v>
      </c>
      <c r="J4200" t="s">
        <v>854</v>
      </c>
      <c r="K4200" t="s">
        <v>180</v>
      </c>
      <c r="L4200">
        <v>200093478</v>
      </c>
    </row>
    <row r="4201" spans="3:12">
      <c r="C4201">
        <v>2100300025</v>
      </c>
      <c r="D4201">
        <v>6426000</v>
      </c>
      <c r="E4201" t="s">
        <v>188</v>
      </c>
      <c r="F4201">
        <v>5210010105</v>
      </c>
      <c r="G4201" s="13">
        <v>14000</v>
      </c>
      <c r="I4201" t="s">
        <v>179</v>
      </c>
      <c r="J4201" t="s">
        <v>854</v>
      </c>
      <c r="K4201" t="s">
        <v>180</v>
      </c>
      <c r="L4201">
        <v>200093479</v>
      </c>
    </row>
    <row r="4202" spans="3:12">
      <c r="C4202">
        <v>2100300025</v>
      </c>
      <c r="D4202">
        <v>6426000</v>
      </c>
      <c r="E4202" t="s">
        <v>188</v>
      </c>
      <c r="F4202">
        <v>5210010105</v>
      </c>
      <c r="G4202" s="13">
        <v>3000</v>
      </c>
      <c r="I4202" t="s">
        <v>179</v>
      </c>
      <c r="J4202" t="s">
        <v>854</v>
      </c>
      <c r="K4202" t="s">
        <v>180</v>
      </c>
      <c r="L4202">
        <v>200093480</v>
      </c>
    </row>
    <row r="4203" spans="3:12">
      <c r="C4203">
        <v>2100300025</v>
      </c>
      <c r="D4203">
        <v>6426000</v>
      </c>
      <c r="E4203" t="s">
        <v>188</v>
      </c>
      <c r="F4203">
        <v>5210010105</v>
      </c>
      <c r="G4203" s="13">
        <v>3700</v>
      </c>
      <c r="I4203" t="s">
        <v>179</v>
      </c>
      <c r="J4203" t="s">
        <v>854</v>
      </c>
      <c r="K4203" t="s">
        <v>180</v>
      </c>
      <c r="L4203">
        <v>200093481</v>
      </c>
    </row>
    <row r="4204" spans="3:12">
      <c r="C4204">
        <v>2100300025</v>
      </c>
      <c r="D4204">
        <v>6426000</v>
      </c>
      <c r="E4204" t="s">
        <v>188</v>
      </c>
      <c r="F4204">
        <v>5210010105</v>
      </c>
      <c r="G4204" s="13">
        <v>3380</v>
      </c>
      <c r="I4204" t="s">
        <v>179</v>
      </c>
      <c r="J4204" t="s">
        <v>854</v>
      </c>
      <c r="K4204" t="s">
        <v>180</v>
      </c>
      <c r="L4204">
        <v>200093482</v>
      </c>
    </row>
    <row r="4205" spans="3:12">
      <c r="C4205">
        <v>2100300025</v>
      </c>
      <c r="D4205">
        <v>6426000</v>
      </c>
      <c r="E4205" t="s">
        <v>188</v>
      </c>
      <c r="F4205">
        <v>5210010105</v>
      </c>
      <c r="G4205" s="13">
        <v>29000</v>
      </c>
      <c r="I4205" t="s">
        <v>179</v>
      </c>
      <c r="J4205" t="s">
        <v>854</v>
      </c>
      <c r="K4205" t="s">
        <v>180</v>
      </c>
      <c r="L4205">
        <v>200093483</v>
      </c>
    </row>
    <row r="4206" spans="3:12">
      <c r="C4206">
        <v>2100300025</v>
      </c>
      <c r="D4206">
        <v>6426000</v>
      </c>
      <c r="E4206" t="s">
        <v>188</v>
      </c>
      <c r="F4206">
        <v>5210010105</v>
      </c>
      <c r="G4206" s="13">
        <v>23120</v>
      </c>
      <c r="I4206" t="s">
        <v>179</v>
      </c>
      <c r="J4206" t="s">
        <v>854</v>
      </c>
      <c r="K4206" t="s">
        <v>180</v>
      </c>
      <c r="L4206">
        <v>200093484</v>
      </c>
    </row>
    <row r="4207" spans="3:12">
      <c r="C4207">
        <v>2100300025</v>
      </c>
      <c r="D4207">
        <v>6426000</v>
      </c>
      <c r="E4207" t="s">
        <v>188</v>
      </c>
      <c r="F4207">
        <v>5210010105</v>
      </c>
      <c r="G4207" s="13">
        <v>143000</v>
      </c>
      <c r="I4207" t="s">
        <v>179</v>
      </c>
      <c r="J4207" t="s">
        <v>854</v>
      </c>
      <c r="K4207" t="s">
        <v>180</v>
      </c>
      <c r="L4207">
        <v>200096833</v>
      </c>
    </row>
    <row r="4208" spans="3:12">
      <c r="C4208">
        <v>2100300025</v>
      </c>
      <c r="D4208">
        <v>6426000</v>
      </c>
      <c r="E4208" t="s">
        <v>188</v>
      </c>
      <c r="F4208">
        <v>5210010105</v>
      </c>
      <c r="G4208" s="13">
        <v>496990</v>
      </c>
      <c r="I4208" t="s">
        <v>179</v>
      </c>
      <c r="J4208" t="s">
        <v>855</v>
      </c>
      <c r="K4208" t="s">
        <v>180</v>
      </c>
      <c r="L4208">
        <v>200090050</v>
      </c>
    </row>
    <row r="4209" spans="3:12">
      <c r="C4209">
        <v>2100300025</v>
      </c>
      <c r="D4209">
        <v>6426000</v>
      </c>
      <c r="E4209" t="s">
        <v>188</v>
      </c>
      <c r="F4209">
        <v>5210010105</v>
      </c>
      <c r="G4209" s="13">
        <v>59100</v>
      </c>
      <c r="I4209" t="s">
        <v>179</v>
      </c>
      <c r="J4209" t="s">
        <v>855</v>
      </c>
      <c r="K4209" t="s">
        <v>180</v>
      </c>
      <c r="L4209">
        <v>200090957</v>
      </c>
    </row>
    <row r="4210" spans="3:12">
      <c r="C4210">
        <v>2100300025</v>
      </c>
      <c r="D4210">
        <v>6426000</v>
      </c>
      <c r="E4210" t="s">
        <v>188</v>
      </c>
      <c r="F4210">
        <v>5210010105</v>
      </c>
      <c r="G4210" s="13">
        <v>326029</v>
      </c>
      <c r="I4210" t="s">
        <v>179</v>
      </c>
      <c r="J4210" t="s">
        <v>855</v>
      </c>
      <c r="K4210" t="s">
        <v>180</v>
      </c>
      <c r="L4210">
        <v>200090115</v>
      </c>
    </row>
    <row r="4211" spans="3:12">
      <c r="C4211">
        <v>2100300025</v>
      </c>
      <c r="D4211">
        <v>6426000</v>
      </c>
      <c r="E4211" t="s">
        <v>188</v>
      </c>
      <c r="F4211">
        <v>5210010105</v>
      </c>
      <c r="G4211" s="13">
        <v>11235</v>
      </c>
      <c r="I4211" t="s">
        <v>179</v>
      </c>
      <c r="J4211" t="s">
        <v>855</v>
      </c>
      <c r="K4211" t="s">
        <v>180</v>
      </c>
      <c r="L4211">
        <v>200091379</v>
      </c>
    </row>
    <row r="4212" spans="3:12">
      <c r="C4212">
        <v>2100300025</v>
      </c>
      <c r="D4212">
        <v>6426000</v>
      </c>
      <c r="E4212" t="s">
        <v>188</v>
      </c>
      <c r="F4212">
        <v>5210010105</v>
      </c>
      <c r="G4212" s="13">
        <v>28000</v>
      </c>
      <c r="I4212" t="s">
        <v>179</v>
      </c>
      <c r="J4212" t="s">
        <v>855</v>
      </c>
      <c r="K4212" t="s">
        <v>180</v>
      </c>
      <c r="L4212">
        <v>200091382</v>
      </c>
    </row>
    <row r="4213" spans="3:12">
      <c r="C4213">
        <v>2100300025</v>
      </c>
      <c r="D4213">
        <v>6426000</v>
      </c>
      <c r="E4213" t="s">
        <v>188</v>
      </c>
      <c r="F4213">
        <v>5210010105</v>
      </c>
      <c r="G4213" s="13">
        <v>31500</v>
      </c>
      <c r="I4213" t="s">
        <v>179</v>
      </c>
      <c r="J4213" t="s">
        <v>965</v>
      </c>
      <c r="K4213" t="s">
        <v>180</v>
      </c>
      <c r="L4213">
        <v>200094657</v>
      </c>
    </row>
    <row r="4214" spans="3:12">
      <c r="C4214">
        <v>2100300025</v>
      </c>
      <c r="D4214">
        <v>6426000</v>
      </c>
      <c r="E4214" t="s">
        <v>188</v>
      </c>
      <c r="F4214">
        <v>5210010105</v>
      </c>
      <c r="G4214" s="13">
        <v>130000</v>
      </c>
      <c r="I4214" t="s">
        <v>179</v>
      </c>
      <c r="J4214" t="s">
        <v>965</v>
      </c>
      <c r="K4214" t="s">
        <v>180</v>
      </c>
      <c r="L4214">
        <v>200087959</v>
      </c>
    </row>
    <row r="4215" spans="3:12">
      <c r="C4215">
        <v>2100300025</v>
      </c>
      <c r="D4215">
        <v>6426000</v>
      </c>
      <c r="E4215" t="s">
        <v>188</v>
      </c>
      <c r="F4215">
        <v>5210010105</v>
      </c>
      <c r="G4215" s="13">
        <v>9390</v>
      </c>
      <c r="I4215" t="s">
        <v>179</v>
      </c>
      <c r="J4215" t="s">
        <v>965</v>
      </c>
      <c r="K4215" t="s">
        <v>180</v>
      </c>
      <c r="L4215">
        <v>200094966</v>
      </c>
    </row>
    <row r="4216" spans="3:12">
      <c r="C4216">
        <v>2100300025</v>
      </c>
      <c r="D4216">
        <v>6426000</v>
      </c>
      <c r="E4216" t="s">
        <v>188</v>
      </c>
      <c r="F4216">
        <v>5210010105</v>
      </c>
      <c r="G4216" s="13">
        <v>29267</v>
      </c>
      <c r="I4216" t="s">
        <v>179</v>
      </c>
      <c r="J4216" t="s">
        <v>966</v>
      </c>
      <c r="K4216" t="s">
        <v>180</v>
      </c>
      <c r="L4216">
        <v>200090934</v>
      </c>
    </row>
    <row r="4217" spans="3:12">
      <c r="C4217">
        <v>2100300025</v>
      </c>
      <c r="D4217">
        <v>6426000</v>
      </c>
      <c r="E4217" t="s">
        <v>188</v>
      </c>
      <c r="F4217">
        <v>5210010105</v>
      </c>
      <c r="G4217" s="13">
        <v>5697</v>
      </c>
      <c r="I4217" t="s">
        <v>179</v>
      </c>
      <c r="J4217" t="s">
        <v>966</v>
      </c>
      <c r="K4217" t="s">
        <v>180</v>
      </c>
      <c r="L4217">
        <v>200090030</v>
      </c>
    </row>
    <row r="4218" spans="3:12">
      <c r="C4218">
        <v>2100300025</v>
      </c>
      <c r="D4218">
        <v>6426000</v>
      </c>
      <c r="E4218" t="s">
        <v>188</v>
      </c>
      <c r="F4218">
        <v>5210010105</v>
      </c>
      <c r="G4218" s="13">
        <v>4400</v>
      </c>
      <c r="I4218" t="s">
        <v>179</v>
      </c>
      <c r="J4218" t="s">
        <v>566</v>
      </c>
      <c r="K4218" t="s">
        <v>180</v>
      </c>
      <c r="L4218">
        <v>200102446</v>
      </c>
    </row>
    <row r="4219" spans="3:12">
      <c r="C4219">
        <v>2100300025</v>
      </c>
      <c r="D4219">
        <v>6426000</v>
      </c>
      <c r="E4219" t="s">
        <v>188</v>
      </c>
      <c r="F4219">
        <v>5210010105</v>
      </c>
      <c r="G4219" s="13">
        <v>2977.8</v>
      </c>
      <c r="I4219" t="s">
        <v>179</v>
      </c>
      <c r="J4219" t="s">
        <v>566</v>
      </c>
      <c r="K4219" t="s">
        <v>180</v>
      </c>
      <c r="L4219">
        <v>200102625</v>
      </c>
    </row>
    <row r="4220" spans="3:12">
      <c r="C4220">
        <v>2100300025</v>
      </c>
      <c r="D4220">
        <v>6426000</v>
      </c>
      <c r="E4220" t="s">
        <v>188</v>
      </c>
      <c r="F4220">
        <v>5210010105</v>
      </c>
      <c r="G4220" s="13">
        <v>2250</v>
      </c>
      <c r="I4220" t="s">
        <v>179</v>
      </c>
      <c r="J4220" t="s">
        <v>566</v>
      </c>
      <c r="K4220" t="s">
        <v>180</v>
      </c>
      <c r="L4220">
        <v>200102447</v>
      </c>
    </row>
    <row r="4221" spans="3:12">
      <c r="C4221">
        <v>2100300025</v>
      </c>
      <c r="D4221">
        <v>6426000</v>
      </c>
      <c r="E4221" t="s">
        <v>188</v>
      </c>
      <c r="F4221">
        <v>5210010105</v>
      </c>
      <c r="G4221" s="13">
        <v>2675</v>
      </c>
      <c r="I4221" t="s">
        <v>179</v>
      </c>
      <c r="J4221" t="s">
        <v>566</v>
      </c>
      <c r="K4221" t="s">
        <v>180</v>
      </c>
      <c r="L4221">
        <v>200102449</v>
      </c>
    </row>
    <row r="4222" spans="3:12">
      <c r="C4222">
        <v>2100300025</v>
      </c>
      <c r="D4222">
        <v>6426000</v>
      </c>
      <c r="E4222" t="s">
        <v>188</v>
      </c>
      <c r="F4222">
        <v>5210010105</v>
      </c>
      <c r="G4222" s="13">
        <v>2621.5</v>
      </c>
      <c r="I4222" t="s">
        <v>179</v>
      </c>
      <c r="J4222" t="s">
        <v>566</v>
      </c>
      <c r="K4222" t="s">
        <v>180</v>
      </c>
      <c r="L4222">
        <v>200102450</v>
      </c>
    </row>
    <row r="4223" spans="3:12">
      <c r="C4223">
        <v>2100300025</v>
      </c>
      <c r="D4223">
        <v>6426000</v>
      </c>
      <c r="E4223" t="s">
        <v>188</v>
      </c>
      <c r="F4223">
        <v>5210010105</v>
      </c>
      <c r="G4223">
        <v>860.28</v>
      </c>
      <c r="I4223" t="s">
        <v>179</v>
      </c>
      <c r="J4223" t="s">
        <v>566</v>
      </c>
      <c r="K4223" t="s">
        <v>180</v>
      </c>
      <c r="L4223">
        <v>200102451</v>
      </c>
    </row>
    <row r="4224" spans="3:12">
      <c r="C4224">
        <v>2100300025</v>
      </c>
      <c r="D4224">
        <v>6426000</v>
      </c>
      <c r="E4224" t="s">
        <v>188</v>
      </c>
      <c r="F4224">
        <v>5210010105</v>
      </c>
      <c r="G4224">
        <v>128.4</v>
      </c>
      <c r="I4224" t="s">
        <v>179</v>
      </c>
      <c r="J4224" t="s">
        <v>566</v>
      </c>
      <c r="K4224" t="s">
        <v>180</v>
      </c>
      <c r="L4224">
        <v>200102452</v>
      </c>
    </row>
    <row r="4225" spans="3:12">
      <c r="C4225">
        <v>2100300025</v>
      </c>
      <c r="D4225">
        <v>6426000</v>
      </c>
      <c r="E4225" t="s">
        <v>188</v>
      </c>
      <c r="F4225">
        <v>5210010105</v>
      </c>
      <c r="G4225" s="13">
        <v>5281.52</v>
      </c>
      <c r="I4225" t="s">
        <v>179</v>
      </c>
      <c r="J4225" t="s">
        <v>566</v>
      </c>
      <c r="K4225" t="s">
        <v>180</v>
      </c>
      <c r="L4225">
        <v>200102453</v>
      </c>
    </row>
    <row r="4226" spans="3:12">
      <c r="C4226">
        <v>2100300025</v>
      </c>
      <c r="D4226">
        <v>6426000</v>
      </c>
      <c r="E4226" t="s">
        <v>188</v>
      </c>
      <c r="F4226">
        <v>5210010105</v>
      </c>
      <c r="G4226" s="13">
        <v>22844.5</v>
      </c>
      <c r="I4226" t="s">
        <v>179</v>
      </c>
      <c r="J4226" t="s">
        <v>566</v>
      </c>
      <c r="K4226" t="s">
        <v>180</v>
      </c>
      <c r="L4226">
        <v>200102454</v>
      </c>
    </row>
    <row r="4227" spans="3:12">
      <c r="C4227">
        <v>2100300025</v>
      </c>
      <c r="D4227">
        <v>6426000</v>
      </c>
      <c r="E4227" t="s">
        <v>188</v>
      </c>
      <c r="F4227">
        <v>5210010105</v>
      </c>
      <c r="G4227" s="13">
        <v>51231.6</v>
      </c>
      <c r="I4227" t="s">
        <v>179</v>
      </c>
      <c r="J4227" t="s">
        <v>566</v>
      </c>
      <c r="K4227" t="s">
        <v>180</v>
      </c>
      <c r="L4227">
        <v>200102455</v>
      </c>
    </row>
    <row r="4228" spans="3:12">
      <c r="C4228">
        <v>2100300025</v>
      </c>
      <c r="D4228">
        <v>6426000</v>
      </c>
      <c r="E4228" t="s">
        <v>188</v>
      </c>
      <c r="F4228">
        <v>5210010105</v>
      </c>
      <c r="G4228" s="13">
        <v>18287.37</v>
      </c>
      <c r="I4228" t="s">
        <v>179</v>
      </c>
      <c r="J4228" t="s">
        <v>566</v>
      </c>
      <c r="K4228" t="s">
        <v>180</v>
      </c>
      <c r="L4228">
        <v>200102456</v>
      </c>
    </row>
    <row r="4229" spans="3:12">
      <c r="C4229">
        <v>2100300025</v>
      </c>
      <c r="D4229">
        <v>6426000</v>
      </c>
      <c r="E4229" t="s">
        <v>188</v>
      </c>
      <c r="F4229">
        <v>5210010105</v>
      </c>
      <c r="G4229" s="13">
        <v>123050</v>
      </c>
      <c r="I4229" t="s">
        <v>179</v>
      </c>
      <c r="J4229" t="s">
        <v>566</v>
      </c>
      <c r="K4229" t="s">
        <v>180</v>
      </c>
      <c r="L4229">
        <v>200101148</v>
      </c>
    </row>
    <row r="4230" spans="3:12">
      <c r="C4230">
        <v>2100300025</v>
      </c>
      <c r="D4230">
        <v>6426000</v>
      </c>
      <c r="E4230" t="s">
        <v>188</v>
      </c>
      <c r="F4230">
        <v>5210010105</v>
      </c>
      <c r="G4230" s="13">
        <v>12679.5</v>
      </c>
      <c r="I4230" t="s">
        <v>179</v>
      </c>
      <c r="J4230" t="s">
        <v>566</v>
      </c>
      <c r="K4230" t="s">
        <v>180</v>
      </c>
      <c r="L4230">
        <v>200101149</v>
      </c>
    </row>
    <row r="4231" spans="3:12">
      <c r="C4231">
        <v>2100300025</v>
      </c>
      <c r="D4231">
        <v>6426000</v>
      </c>
      <c r="E4231" t="s">
        <v>188</v>
      </c>
      <c r="F4231">
        <v>5210010105</v>
      </c>
      <c r="G4231">
        <v>988.68</v>
      </c>
      <c r="I4231" t="s">
        <v>179</v>
      </c>
      <c r="J4231" t="s">
        <v>566</v>
      </c>
      <c r="K4231" t="s">
        <v>180</v>
      </c>
      <c r="L4231">
        <v>200101150</v>
      </c>
    </row>
    <row r="4232" spans="3:12">
      <c r="C4232">
        <v>2100300025</v>
      </c>
      <c r="D4232">
        <v>6426000</v>
      </c>
      <c r="E4232" t="s">
        <v>188</v>
      </c>
      <c r="F4232">
        <v>5210010105</v>
      </c>
      <c r="G4232">
        <v>290</v>
      </c>
      <c r="I4232" t="s">
        <v>179</v>
      </c>
      <c r="J4232" t="s">
        <v>566</v>
      </c>
      <c r="K4232" t="s">
        <v>180</v>
      </c>
      <c r="L4232">
        <v>200102458</v>
      </c>
    </row>
    <row r="4233" spans="3:12">
      <c r="C4233">
        <v>2100300025</v>
      </c>
      <c r="D4233">
        <v>6426000</v>
      </c>
      <c r="E4233" t="s">
        <v>188</v>
      </c>
      <c r="F4233">
        <v>5210010105</v>
      </c>
      <c r="G4233" s="13">
        <v>4000</v>
      </c>
      <c r="I4233" t="s">
        <v>179</v>
      </c>
      <c r="J4233" t="s">
        <v>566</v>
      </c>
      <c r="K4233" t="s">
        <v>180</v>
      </c>
      <c r="L4233">
        <v>200102459</v>
      </c>
    </row>
    <row r="4234" spans="3:12">
      <c r="C4234">
        <v>2100300025</v>
      </c>
      <c r="D4234">
        <v>6426000</v>
      </c>
      <c r="E4234" t="s">
        <v>188</v>
      </c>
      <c r="F4234">
        <v>5210010105</v>
      </c>
      <c r="G4234">
        <v>160</v>
      </c>
      <c r="I4234" t="s">
        <v>179</v>
      </c>
      <c r="J4234" t="s">
        <v>566</v>
      </c>
      <c r="K4234" t="s">
        <v>180</v>
      </c>
      <c r="L4234">
        <v>200102460</v>
      </c>
    </row>
    <row r="4235" spans="3:12">
      <c r="C4235">
        <v>2100300025</v>
      </c>
      <c r="D4235">
        <v>6426000</v>
      </c>
      <c r="E4235" t="s">
        <v>188</v>
      </c>
      <c r="F4235">
        <v>5210010105</v>
      </c>
      <c r="G4235" s="13">
        <v>1000</v>
      </c>
      <c r="I4235" t="s">
        <v>179</v>
      </c>
      <c r="J4235" t="s">
        <v>566</v>
      </c>
      <c r="K4235" t="s">
        <v>180</v>
      </c>
      <c r="L4235">
        <v>200102461</v>
      </c>
    </row>
    <row r="4236" spans="3:12">
      <c r="C4236">
        <v>2100300025</v>
      </c>
      <c r="D4236">
        <v>6426000</v>
      </c>
      <c r="E4236" t="s">
        <v>188</v>
      </c>
      <c r="F4236">
        <v>5210010105</v>
      </c>
      <c r="G4236" s="13">
        <v>7800</v>
      </c>
      <c r="I4236" t="s">
        <v>179</v>
      </c>
      <c r="J4236" t="s">
        <v>566</v>
      </c>
      <c r="K4236" t="s">
        <v>180</v>
      </c>
      <c r="L4236">
        <v>200102462</v>
      </c>
    </row>
    <row r="4237" spans="3:12">
      <c r="C4237">
        <v>2100300025</v>
      </c>
      <c r="D4237">
        <v>6426000</v>
      </c>
      <c r="E4237" t="s">
        <v>188</v>
      </c>
      <c r="F4237">
        <v>5210010105</v>
      </c>
      <c r="G4237" s="13">
        <v>22260</v>
      </c>
      <c r="I4237" t="s">
        <v>179</v>
      </c>
      <c r="J4237" t="s">
        <v>566</v>
      </c>
      <c r="K4237" t="s">
        <v>180</v>
      </c>
      <c r="L4237">
        <v>200102463</v>
      </c>
    </row>
    <row r="4238" spans="3:12">
      <c r="C4238">
        <v>2100300025</v>
      </c>
      <c r="D4238">
        <v>6426000</v>
      </c>
      <c r="E4238" t="s">
        <v>188</v>
      </c>
      <c r="F4238">
        <v>5210010105</v>
      </c>
      <c r="G4238" s="13">
        <v>3720</v>
      </c>
      <c r="I4238" t="s">
        <v>179</v>
      </c>
      <c r="J4238" t="s">
        <v>566</v>
      </c>
      <c r="K4238" t="s">
        <v>180</v>
      </c>
      <c r="L4238">
        <v>200102464</v>
      </c>
    </row>
    <row r="4239" spans="3:12">
      <c r="C4239">
        <v>2100300025</v>
      </c>
      <c r="D4239">
        <v>6426000</v>
      </c>
      <c r="E4239" t="s">
        <v>188</v>
      </c>
      <c r="F4239">
        <v>5210010105</v>
      </c>
      <c r="G4239" s="13">
        <v>4500</v>
      </c>
      <c r="I4239" t="s">
        <v>179</v>
      </c>
      <c r="J4239" t="s">
        <v>566</v>
      </c>
      <c r="K4239" t="s">
        <v>180</v>
      </c>
      <c r="L4239">
        <v>200102107</v>
      </c>
    </row>
    <row r="4240" spans="3:12">
      <c r="C4240">
        <v>2100300025</v>
      </c>
      <c r="D4240">
        <v>6426000</v>
      </c>
      <c r="E4240" t="s">
        <v>188</v>
      </c>
      <c r="F4240">
        <v>5210010105</v>
      </c>
      <c r="G4240" s="13">
        <v>1500</v>
      </c>
      <c r="I4240" t="s">
        <v>179</v>
      </c>
      <c r="J4240" t="s">
        <v>566</v>
      </c>
      <c r="K4240" t="s">
        <v>180</v>
      </c>
      <c r="L4240">
        <v>200102108</v>
      </c>
    </row>
    <row r="4241" spans="3:12">
      <c r="C4241">
        <v>2100300025</v>
      </c>
      <c r="D4241">
        <v>6426000</v>
      </c>
      <c r="E4241" t="s">
        <v>188</v>
      </c>
      <c r="F4241">
        <v>5210010105</v>
      </c>
      <c r="G4241" s="13">
        <v>12000</v>
      </c>
      <c r="I4241" t="s">
        <v>179</v>
      </c>
      <c r="J4241" t="s">
        <v>566</v>
      </c>
      <c r="K4241" t="s">
        <v>180</v>
      </c>
      <c r="L4241">
        <v>200102629</v>
      </c>
    </row>
    <row r="4242" spans="3:12">
      <c r="C4242">
        <v>2100300025</v>
      </c>
      <c r="D4242">
        <v>6426000</v>
      </c>
      <c r="E4242" t="s">
        <v>188</v>
      </c>
      <c r="F4242">
        <v>5210010105</v>
      </c>
      <c r="G4242">
        <v>800</v>
      </c>
      <c r="I4242" t="s">
        <v>179</v>
      </c>
      <c r="J4242" t="s">
        <v>566</v>
      </c>
      <c r="K4242" t="s">
        <v>180</v>
      </c>
      <c r="L4242">
        <v>200101158</v>
      </c>
    </row>
    <row r="4243" spans="3:12">
      <c r="C4243">
        <v>2100300025</v>
      </c>
      <c r="D4243">
        <v>6426000</v>
      </c>
      <c r="E4243" t="s">
        <v>188</v>
      </c>
      <c r="F4243">
        <v>5210010105</v>
      </c>
      <c r="G4243">
        <v>520</v>
      </c>
      <c r="I4243" t="s">
        <v>179</v>
      </c>
      <c r="J4243" t="s">
        <v>566</v>
      </c>
      <c r="K4243" t="s">
        <v>180</v>
      </c>
      <c r="L4243">
        <v>200101159</v>
      </c>
    </row>
    <row r="4244" spans="3:12">
      <c r="C4244">
        <v>2100300025</v>
      </c>
      <c r="D4244">
        <v>6426000</v>
      </c>
      <c r="E4244" t="s">
        <v>188</v>
      </c>
      <c r="F4244">
        <v>5210010105</v>
      </c>
      <c r="G4244" s="13">
        <v>8000</v>
      </c>
      <c r="I4244" t="s">
        <v>179</v>
      </c>
      <c r="J4244" t="s">
        <v>566</v>
      </c>
      <c r="K4244" t="s">
        <v>180</v>
      </c>
      <c r="L4244">
        <v>200101160</v>
      </c>
    </row>
    <row r="4245" spans="3:12">
      <c r="C4245">
        <v>2100300025</v>
      </c>
      <c r="D4245">
        <v>6426000</v>
      </c>
      <c r="E4245" t="s">
        <v>188</v>
      </c>
      <c r="F4245">
        <v>5210010105</v>
      </c>
      <c r="G4245" s="13">
        <v>5350</v>
      </c>
      <c r="I4245" t="s">
        <v>179</v>
      </c>
      <c r="J4245" t="s">
        <v>566</v>
      </c>
      <c r="K4245" t="s">
        <v>180</v>
      </c>
      <c r="L4245">
        <v>200101161</v>
      </c>
    </row>
    <row r="4246" spans="3:12">
      <c r="C4246">
        <v>2100300025</v>
      </c>
      <c r="D4246">
        <v>6426000</v>
      </c>
      <c r="E4246" t="s">
        <v>188</v>
      </c>
      <c r="F4246">
        <v>5210010105</v>
      </c>
      <c r="G4246">
        <v>77.34</v>
      </c>
      <c r="I4246" t="s">
        <v>179</v>
      </c>
      <c r="J4246" t="s">
        <v>566</v>
      </c>
      <c r="K4246" t="s">
        <v>180</v>
      </c>
      <c r="L4246">
        <v>200101162</v>
      </c>
    </row>
    <row r="4247" spans="3:12">
      <c r="C4247">
        <v>2100300025</v>
      </c>
      <c r="D4247">
        <v>6426000</v>
      </c>
      <c r="E4247" t="s">
        <v>188</v>
      </c>
      <c r="F4247">
        <v>5210010105</v>
      </c>
      <c r="G4247" s="13">
        <v>8550</v>
      </c>
      <c r="I4247" t="s">
        <v>179</v>
      </c>
      <c r="J4247" t="s">
        <v>566</v>
      </c>
      <c r="K4247" t="s">
        <v>180</v>
      </c>
      <c r="L4247">
        <v>200101163</v>
      </c>
    </row>
    <row r="4248" spans="3:12">
      <c r="C4248">
        <v>2100300025</v>
      </c>
      <c r="D4248">
        <v>6426000</v>
      </c>
      <c r="E4248" t="s">
        <v>188</v>
      </c>
      <c r="F4248">
        <v>5210010105</v>
      </c>
      <c r="G4248">
        <v>205</v>
      </c>
      <c r="I4248" t="s">
        <v>179</v>
      </c>
      <c r="J4248" t="s">
        <v>566</v>
      </c>
      <c r="K4248" t="s">
        <v>180</v>
      </c>
      <c r="L4248">
        <v>200101164</v>
      </c>
    </row>
    <row r="4249" spans="3:12">
      <c r="C4249">
        <v>2100300025</v>
      </c>
      <c r="D4249">
        <v>6426000</v>
      </c>
      <c r="E4249" t="s">
        <v>188</v>
      </c>
      <c r="F4249">
        <v>5210010105</v>
      </c>
      <c r="G4249" s="13">
        <v>3210</v>
      </c>
      <c r="I4249" t="s">
        <v>179</v>
      </c>
      <c r="J4249" t="s">
        <v>566</v>
      </c>
      <c r="K4249" t="s">
        <v>180</v>
      </c>
      <c r="L4249">
        <v>200101165</v>
      </c>
    </row>
    <row r="4250" spans="3:12">
      <c r="C4250">
        <v>2100300025</v>
      </c>
      <c r="D4250">
        <v>6426000</v>
      </c>
      <c r="E4250" t="s">
        <v>188</v>
      </c>
      <c r="F4250">
        <v>5210010105</v>
      </c>
      <c r="G4250">
        <v>400</v>
      </c>
      <c r="I4250" t="s">
        <v>179</v>
      </c>
      <c r="J4250" t="s">
        <v>566</v>
      </c>
      <c r="K4250" t="s">
        <v>180</v>
      </c>
      <c r="L4250">
        <v>200101166</v>
      </c>
    </row>
    <row r="4251" spans="3:12">
      <c r="C4251">
        <v>2100300025</v>
      </c>
      <c r="D4251">
        <v>6426000</v>
      </c>
      <c r="E4251" t="s">
        <v>188</v>
      </c>
      <c r="F4251">
        <v>5210010105</v>
      </c>
      <c r="G4251" s="13">
        <v>4960</v>
      </c>
      <c r="I4251" t="s">
        <v>179</v>
      </c>
      <c r="J4251" t="s">
        <v>969</v>
      </c>
      <c r="K4251" t="s">
        <v>180</v>
      </c>
      <c r="L4251">
        <v>200107082</v>
      </c>
    </row>
    <row r="4252" spans="3:12">
      <c r="C4252">
        <v>2100300025</v>
      </c>
      <c r="D4252">
        <v>6426000</v>
      </c>
      <c r="E4252" t="s">
        <v>188</v>
      </c>
      <c r="F4252">
        <v>5210010105</v>
      </c>
      <c r="G4252" s="13">
        <v>3091.25</v>
      </c>
      <c r="I4252" t="s">
        <v>179</v>
      </c>
      <c r="J4252" t="s">
        <v>969</v>
      </c>
      <c r="K4252" t="s">
        <v>180</v>
      </c>
      <c r="L4252">
        <v>200106985</v>
      </c>
    </row>
    <row r="4253" spans="3:12">
      <c r="C4253">
        <v>2100300025</v>
      </c>
      <c r="D4253">
        <v>6426000</v>
      </c>
      <c r="E4253" t="s">
        <v>188</v>
      </c>
      <c r="F4253">
        <v>5210010105</v>
      </c>
      <c r="G4253" s="13">
        <v>4269.3</v>
      </c>
      <c r="I4253" t="s">
        <v>179</v>
      </c>
      <c r="J4253" t="s">
        <v>969</v>
      </c>
      <c r="K4253" t="s">
        <v>180</v>
      </c>
      <c r="L4253">
        <v>200105775</v>
      </c>
    </row>
    <row r="4254" spans="3:12">
      <c r="C4254">
        <v>2100300025</v>
      </c>
      <c r="D4254">
        <v>6426000</v>
      </c>
      <c r="E4254" t="s">
        <v>188</v>
      </c>
      <c r="F4254">
        <v>5210010105</v>
      </c>
      <c r="G4254" s="13">
        <v>3600.55</v>
      </c>
      <c r="I4254" t="s">
        <v>179</v>
      </c>
      <c r="J4254" t="s">
        <v>969</v>
      </c>
      <c r="K4254" t="s">
        <v>180</v>
      </c>
      <c r="L4254">
        <v>200106986</v>
      </c>
    </row>
    <row r="4255" spans="3:12">
      <c r="C4255">
        <v>2100300025</v>
      </c>
      <c r="D4255">
        <v>6426000</v>
      </c>
      <c r="E4255" t="s">
        <v>188</v>
      </c>
      <c r="F4255">
        <v>5210010105</v>
      </c>
      <c r="G4255" s="13">
        <v>101400</v>
      </c>
      <c r="I4255" t="s">
        <v>179</v>
      </c>
      <c r="J4255" t="s">
        <v>969</v>
      </c>
      <c r="K4255" t="s">
        <v>180</v>
      </c>
      <c r="L4255">
        <v>200106987</v>
      </c>
    </row>
    <row r="4256" spans="3:12">
      <c r="C4256">
        <v>2100300025</v>
      </c>
      <c r="D4256">
        <v>6426000</v>
      </c>
      <c r="E4256" t="s">
        <v>188</v>
      </c>
      <c r="F4256">
        <v>5210010105</v>
      </c>
      <c r="G4256" s="13">
        <v>238180</v>
      </c>
      <c r="I4256" t="s">
        <v>179</v>
      </c>
      <c r="J4256" t="s">
        <v>969</v>
      </c>
      <c r="K4256" t="s">
        <v>180</v>
      </c>
      <c r="L4256">
        <v>200107089</v>
      </c>
    </row>
    <row r="4257" spans="3:12">
      <c r="C4257">
        <v>2100300025</v>
      </c>
      <c r="D4257">
        <v>6426000</v>
      </c>
      <c r="E4257" t="s">
        <v>188</v>
      </c>
      <c r="F4257">
        <v>5210010105</v>
      </c>
      <c r="G4257" s="13">
        <v>23500</v>
      </c>
      <c r="I4257" t="s">
        <v>179</v>
      </c>
      <c r="J4257" t="s">
        <v>857</v>
      </c>
      <c r="K4257" t="s">
        <v>180</v>
      </c>
      <c r="L4257">
        <v>200100989</v>
      </c>
    </row>
    <row r="4258" spans="3:12">
      <c r="C4258">
        <v>2100300025</v>
      </c>
      <c r="D4258">
        <v>6426000</v>
      </c>
      <c r="E4258" t="s">
        <v>188</v>
      </c>
      <c r="F4258">
        <v>5210010105</v>
      </c>
      <c r="G4258" s="13">
        <v>43000</v>
      </c>
      <c r="I4258" t="s">
        <v>179</v>
      </c>
      <c r="J4258" t="s">
        <v>857</v>
      </c>
      <c r="K4258" t="s">
        <v>180</v>
      </c>
      <c r="L4258">
        <v>200101582</v>
      </c>
    </row>
    <row r="4259" spans="3:12">
      <c r="C4259">
        <v>2100300025</v>
      </c>
      <c r="D4259">
        <v>6426000</v>
      </c>
      <c r="E4259" t="s">
        <v>188</v>
      </c>
      <c r="F4259">
        <v>5210010105</v>
      </c>
      <c r="G4259" s="13">
        <v>22000</v>
      </c>
      <c r="I4259" t="s">
        <v>179</v>
      </c>
      <c r="J4259" t="s">
        <v>971</v>
      </c>
      <c r="K4259" t="s">
        <v>180</v>
      </c>
      <c r="L4259">
        <v>200105813</v>
      </c>
    </row>
    <row r="4260" spans="3:12">
      <c r="C4260">
        <v>2100300025</v>
      </c>
      <c r="D4260">
        <v>6426000</v>
      </c>
      <c r="E4260" t="s">
        <v>188</v>
      </c>
      <c r="F4260">
        <v>5210010105</v>
      </c>
      <c r="G4260" s="13">
        <v>6000</v>
      </c>
      <c r="I4260" t="s">
        <v>179</v>
      </c>
      <c r="J4260" t="s">
        <v>971</v>
      </c>
      <c r="K4260" t="s">
        <v>180</v>
      </c>
      <c r="L4260">
        <v>200105814</v>
      </c>
    </row>
    <row r="4261" spans="3:12">
      <c r="C4261">
        <v>2100300025</v>
      </c>
      <c r="D4261">
        <v>6426000</v>
      </c>
      <c r="E4261" t="s">
        <v>188</v>
      </c>
      <c r="F4261">
        <v>5210010105</v>
      </c>
      <c r="G4261" s="13">
        <v>13219.65</v>
      </c>
      <c r="I4261" t="s">
        <v>179</v>
      </c>
      <c r="J4261" t="s">
        <v>971</v>
      </c>
      <c r="K4261" t="s">
        <v>180</v>
      </c>
      <c r="L4261">
        <v>200104981</v>
      </c>
    </row>
    <row r="4262" spans="3:12">
      <c r="C4262">
        <v>2100300025</v>
      </c>
      <c r="D4262">
        <v>6426000</v>
      </c>
      <c r="E4262" t="s">
        <v>188</v>
      </c>
      <c r="F4262">
        <v>5210010105</v>
      </c>
      <c r="G4262" s="13">
        <v>8736</v>
      </c>
      <c r="I4262" t="s">
        <v>179</v>
      </c>
      <c r="J4262" t="s">
        <v>971</v>
      </c>
      <c r="K4262" t="s">
        <v>180</v>
      </c>
      <c r="L4262">
        <v>200104382</v>
      </c>
    </row>
    <row r="4263" spans="3:12">
      <c r="C4263">
        <v>2100300025</v>
      </c>
      <c r="D4263">
        <v>6426000</v>
      </c>
      <c r="E4263" t="s">
        <v>188</v>
      </c>
      <c r="F4263">
        <v>5210010105</v>
      </c>
      <c r="G4263" s="13">
        <v>5199.5</v>
      </c>
      <c r="I4263" t="s">
        <v>179</v>
      </c>
      <c r="J4263" t="s">
        <v>971</v>
      </c>
      <c r="K4263" t="s">
        <v>180</v>
      </c>
      <c r="L4263">
        <v>200105815</v>
      </c>
    </row>
    <row r="4264" spans="3:12">
      <c r="C4264">
        <v>2100300025</v>
      </c>
      <c r="D4264">
        <v>6426000</v>
      </c>
      <c r="E4264" t="s">
        <v>188</v>
      </c>
      <c r="F4264">
        <v>5210010105</v>
      </c>
      <c r="G4264" s="13">
        <v>8236</v>
      </c>
      <c r="I4264" t="s">
        <v>179</v>
      </c>
      <c r="J4264" t="s">
        <v>858</v>
      </c>
      <c r="K4264" t="s">
        <v>180</v>
      </c>
      <c r="L4264">
        <v>200110281</v>
      </c>
    </row>
    <row r="4265" spans="3:12">
      <c r="C4265">
        <v>2100300025</v>
      </c>
      <c r="D4265">
        <v>6426000</v>
      </c>
      <c r="E4265" t="s">
        <v>188</v>
      </c>
      <c r="F4265">
        <v>5210010105</v>
      </c>
      <c r="G4265" s="13">
        <v>5850</v>
      </c>
      <c r="I4265" t="s">
        <v>179</v>
      </c>
      <c r="J4265" t="s">
        <v>858</v>
      </c>
      <c r="K4265" t="s">
        <v>180</v>
      </c>
      <c r="L4265">
        <v>200110283</v>
      </c>
    </row>
    <row r="4266" spans="3:12">
      <c r="C4266">
        <v>2100300025</v>
      </c>
      <c r="D4266">
        <v>6426000</v>
      </c>
      <c r="E4266" t="s">
        <v>188</v>
      </c>
      <c r="F4266">
        <v>5210010105</v>
      </c>
      <c r="G4266" s="13">
        <v>17000</v>
      </c>
      <c r="I4266" t="s">
        <v>179</v>
      </c>
      <c r="J4266" t="s">
        <v>858</v>
      </c>
      <c r="K4266" t="s">
        <v>180</v>
      </c>
      <c r="L4266">
        <v>200107385</v>
      </c>
    </row>
    <row r="4267" spans="3:12">
      <c r="C4267">
        <v>2100300025</v>
      </c>
      <c r="D4267">
        <v>6426000</v>
      </c>
      <c r="E4267" t="s">
        <v>188</v>
      </c>
      <c r="F4267">
        <v>5210010105</v>
      </c>
      <c r="G4267" s="13">
        <v>2500</v>
      </c>
      <c r="I4267" t="s">
        <v>179</v>
      </c>
      <c r="J4267" t="s">
        <v>859</v>
      </c>
      <c r="K4267" t="s">
        <v>180</v>
      </c>
      <c r="L4267">
        <v>200101375</v>
      </c>
    </row>
    <row r="4268" spans="3:12">
      <c r="C4268">
        <v>2100300025</v>
      </c>
      <c r="D4268">
        <v>6426000</v>
      </c>
      <c r="E4268" t="s">
        <v>188</v>
      </c>
      <c r="F4268">
        <v>5210010105</v>
      </c>
      <c r="G4268" s="13">
        <v>2100</v>
      </c>
      <c r="I4268" t="s">
        <v>179</v>
      </c>
      <c r="J4268" t="s">
        <v>859</v>
      </c>
      <c r="K4268" t="s">
        <v>180</v>
      </c>
      <c r="L4268">
        <v>200101804</v>
      </c>
    </row>
    <row r="4269" spans="3:12">
      <c r="C4269">
        <v>2100300025</v>
      </c>
      <c r="D4269">
        <v>6426000</v>
      </c>
      <c r="E4269" t="s">
        <v>188</v>
      </c>
      <c r="F4269">
        <v>5210010105</v>
      </c>
      <c r="G4269" s="13">
        <v>3450</v>
      </c>
      <c r="I4269" t="s">
        <v>179</v>
      </c>
      <c r="J4269" t="s">
        <v>859</v>
      </c>
      <c r="K4269" t="s">
        <v>180</v>
      </c>
      <c r="L4269">
        <v>200101805</v>
      </c>
    </row>
    <row r="4270" spans="3:12">
      <c r="C4270">
        <v>2100300025</v>
      </c>
      <c r="D4270">
        <v>6426000</v>
      </c>
      <c r="E4270" t="s">
        <v>188</v>
      </c>
      <c r="F4270">
        <v>5210010105</v>
      </c>
      <c r="G4270">
        <v>700</v>
      </c>
      <c r="I4270" t="s">
        <v>179</v>
      </c>
      <c r="J4270" t="s">
        <v>859</v>
      </c>
      <c r="K4270" t="s">
        <v>180</v>
      </c>
      <c r="L4270">
        <v>200101806</v>
      </c>
    </row>
    <row r="4271" spans="3:12">
      <c r="C4271">
        <v>2100300025</v>
      </c>
      <c r="D4271">
        <v>6426000</v>
      </c>
      <c r="E4271" t="s">
        <v>188</v>
      </c>
      <c r="F4271">
        <v>5210010105</v>
      </c>
      <c r="G4271" s="13">
        <v>199912.5</v>
      </c>
      <c r="I4271" t="s">
        <v>179</v>
      </c>
      <c r="J4271" t="s">
        <v>859</v>
      </c>
      <c r="K4271" t="s">
        <v>180</v>
      </c>
      <c r="L4271">
        <v>200101807</v>
      </c>
    </row>
    <row r="4272" spans="3:12">
      <c r="C4272">
        <v>2100300025</v>
      </c>
      <c r="D4272">
        <v>6426000</v>
      </c>
      <c r="E4272" t="s">
        <v>188</v>
      </c>
      <c r="F4272">
        <v>5210010105</v>
      </c>
      <c r="G4272" s="13">
        <v>2800</v>
      </c>
      <c r="I4272" t="s">
        <v>179</v>
      </c>
      <c r="J4272" t="s">
        <v>859</v>
      </c>
      <c r="K4272" t="s">
        <v>180</v>
      </c>
      <c r="L4272">
        <v>200101808</v>
      </c>
    </row>
    <row r="4273" spans="3:12">
      <c r="C4273">
        <v>2100300025</v>
      </c>
      <c r="D4273">
        <v>6426000</v>
      </c>
      <c r="E4273" t="s">
        <v>188</v>
      </c>
      <c r="F4273">
        <v>5210010105</v>
      </c>
      <c r="G4273" s="13">
        <v>34828.5</v>
      </c>
      <c r="I4273" t="s">
        <v>179</v>
      </c>
      <c r="J4273" t="s">
        <v>973</v>
      </c>
      <c r="K4273" t="s">
        <v>180</v>
      </c>
      <c r="L4273">
        <v>200110255</v>
      </c>
    </row>
    <row r="4274" spans="3:12">
      <c r="C4274">
        <v>2100300025</v>
      </c>
      <c r="D4274">
        <v>6426000</v>
      </c>
      <c r="E4274" t="s">
        <v>188</v>
      </c>
      <c r="F4274">
        <v>5210010105</v>
      </c>
      <c r="G4274" s="13">
        <v>11200</v>
      </c>
      <c r="I4274" t="s">
        <v>179</v>
      </c>
      <c r="J4274" t="s">
        <v>860</v>
      </c>
      <c r="K4274" t="s">
        <v>180</v>
      </c>
      <c r="L4274">
        <v>200101417</v>
      </c>
    </row>
    <row r="4275" spans="3:12">
      <c r="C4275">
        <v>2100300025</v>
      </c>
      <c r="D4275">
        <v>6426000</v>
      </c>
      <c r="E4275" t="s">
        <v>188</v>
      </c>
      <c r="F4275">
        <v>5210010105</v>
      </c>
      <c r="G4275" s="13">
        <v>16800</v>
      </c>
      <c r="I4275" t="s">
        <v>179</v>
      </c>
      <c r="J4275" t="s">
        <v>860</v>
      </c>
      <c r="K4275" t="s">
        <v>180</v>
      </c>
      <c r="L4275">
        <v>200100813</v>
      </c>
    </row>
    <row r="4276" spans="3:12">
      <c r="C4276">
        <v>2100300025</v>
      </c>
      <c r="D4276">
        <v>6426000</v>
      </c>
      <c r="E4276" t="s">
        <v>188</v>
      </c>
      <c r="F4276">
        <v>5210010105</v>
      </c>
      <c r="G4276" s="13">
        <v>10400</v>
      </c>
      <c r="I4276" t="s">
        <v>179</v>
      </c>
      <c r="J4276" t="s">
        <v>860</v>
      </c>
      <c r="K4276" t="s">
        <v>180</v>
      </c>
      <c r="L4276">
        <v>200101418</v>
      </c>
    </row>
    <row r="4277" spans="3:12">
      <c r="C4277">
        <v>2100300025</v>
      </c>
      <c r="D4277">
        <v>6426000</v>
      </c>
      <c r="E4277" t="s">
        <v>188</v>
      </c>
      <c r="F4277">
        <v>5210010105</v>
      </c>
      <c r="G4277" s="13">
        <v>4640</v>
      </c>
      <c r="I4277" t="s">
        <v>179</v>
      </c>
      <c r="J4277" t="s">
        <v>860</v>
      </c>
      <c r="K4277" t="s">
        <v>180</v>
      </c>
      <c r="L4277">
        <v>200101419</v>
      </c>
    </row>
    <row r="4278" spans="3:12">
      <c r="C4278">
        <v>2100300025</v>
      </c>
      <c r="D4278">
        <v>6426000</v>
      </c>
      <c r="E4278" t="s">
        <v>188</v>
      </c>
      <c r="F4278">
        <v>5210010105</v>
      </c>
      <c r="G4278" s="13">
        <v>2175</v>
      </c>
      <c r="I4278" t="s">
        <v>179</v>
      </c>
      <c r="J4278" t="s">
        <v>860</v>
      </c>
      <c r="K4278" t="s">
        <v>180</v>
      </c>
      <c r="L4278">
        <v>200101224</v>
      </c>
    </row>
    <row r="4279" spans="3:12">
      <c r="C4279">
        <v>2100300025</v>
      </c>
      <c r="D4279">
        <v>6426000</v>
      </c>
      <c r="E4279" t="s">
        <v>188</v>
      </c>
      <c r="F4279">
        <v>5210010105</v>
      </c>
      <c r="G4279" s="13">
        <v>4900</v>
      </c>
      <c r="I4279" t="s">
        <v>179</v>
      </c>
      <c r="J4279" t="s">
        <v>860</v>
      </c>
      <c r="K4279" t="s">
        <v>180</v>
      </c>
      <c r="L4279">
        <v>200101225</v>
      </c>
    </row>
    <row r="4280" spans="3:12">
      <c r="C4280">
        <v>2100300025</v>
      </c>
      <c r="D4280">
        <v>6426000</v>
      </c>
      <c r="E4280" t="s">
        <v>188</v>
      </c>
      <c r="F4280">
        <v>5210010105</v>
      </c>
      <c r="G4280" s="13">
        <v>92444.79</v>
      </c>
      <c r="I4280" t="s">
        <v>179</v>
      </c>
      <c r="J4280" t="s">
        <v>860</v>
      </c>
      <c r="K4280" t="s">
        <v>180</v>
      </c>
      <c r="L4280">
        <v>200101420</v>
      </c>
    </row>
    <row r="4281" spans="3:12">
      <c r="C4281">
        <v>2100300025</v>
      </c>
      <c r="D4281">
        <v>6426000</v>
      </c>
      <c r="E4281" t="s">
        <v>188</v>
      </c>
      <c r="F4281">
        <v>5210010105</v>
      </c>
      <c r="G4281" s="13">
        <v>12037.5</v>
      </c>
      <c r="I4281" t="s">
        <v>179</v>
      </c>
      <c r="J4281" t="s">
        <v>860</v>
      </c>
      <c r="K4281" t="s">
        <v>180</v>
      </c>
      <c r="L4281">
        <v>200101110</v>
      </c>
    </row>
    <row r="4282" spans="3:12">
      <c r="C4282">
        <v>2100300025</v>
      </c>
      <c r="D4282">
        <v>6426000</v>
      </c>
      <c r="E4282" t="s">
        <v>188</v>
      </c>
      <c r="F4282">
        <v>5210010105</v>
      </c>
      <c r="G4282" s="13">
        <v>1519.4</v>
      </c>
      <c r="I4282" t="s">
        <v>179</v>
      </c>
      <c r="J4282" t="s">
        <v>860</v>
      </c>
      <c r="K4282" t="s">
        <v>180</v>
      </c>
      <c r="L4282">
        <v>200101111</v>
      </c>
    </row>
    <row r="4283" spans="3:12">
      <c r="C4283">
        <v>2100300025</v>
      </c>
      <c r="D4283">
        <v>6426000</v>
      </c>
      <c r="E4283" t="s">
        <v>188</v>
      </c>
      <c r="F4283">
        <v>5210010105</v>
      </c>
      <c r="G4283" s="13">
        <v>20972</v>
      </c>
      <c r="I4283" t="s">
        <v>179</v>
      </c>
      <c r="J4283" t="s">
        <v>860</v>
      </c>
      <c r="K4283" t="s">
        <v>180</v>
      </c>
      <c r="L4283">
        <v>200101421</v>
      </c>
    </row>
    <row r="4284" spans="3:12">
      <c r="C4284">
        <v>2100300025</v>
      </c>
      <c r="D4284">
        <v>6426000</v>
      </c>
      <c r="E4284" t="s">
        <v>188</v>
      </c>
      <c r="F4284">
        <v>5210010105</v>
      </c>
      <c r="G4284" s="13">
        <v>4012.5</v>
      </c>
      <c r="I4284" t="s">
        <v>179</v>
      </c>
      <c r="J4284" t="s">
        <v>860</v>
      </c>
      <c r="K4284" t="s">
        <v>180</v>
      </c>
      <c r="L4284">
        <v>200101058</v>
      </c>
    </row>
    <row r="4285" spans="3:12">
      <c r="C4285">
        <v>2100300025</v>
      </c>
      <c r="D4285">
        <v>6426000</v>
      </c>
      <c r="E4285" t="s">
        <v>188</v>
      </c>
      <c r="F4285">
        <v>5210010105</v>
      </c>
      <c r="G4285">
        <v>460.1</v>
      </c>
      <c r="I4285" t="s">
        <v>179</v>
      </c>
      <c r="J4285" t="s">
        <v>860</v>
      </c>
      <c r="K4285" t="s">
        <v>180</v>
      </c>
      <c r="L4285">
        <v>200101059</v>
      </c>
    </row>
    <row r="4286" spans="3:12">
      <c r="C4286">
        <v>2100300025</v>
      </c>
      <c r="D4286">
        <v>6426000</v>
      </c>
      <c r="E4286" t="s">
        <v>188</v>
      </c>
      <c r="F4286">
        <v>5210010105</v>
      </c>
      <c r="G4286" s="13">
        <v>61268.2</v>
      </c>
      <c r="I4286" t="s">
        <v>179</v>
      </c>
      <c r="J4286" t="s">
        <v>860</v>
      </c>
      <c r="K4286" t="s">
        <v>180</v>
      </c>
      <c r="L4286">
        <v>200101060</v>
      </c>
    </row>
    <row r="4287" spans="3:12">
      <c r="C4287">
        <v>2100300025</v>
      </c>
      <c r="D4287">
        <v>6426000</v>
      </c>
      <c r="E4287" t="s">
        <v>188</v>
      </c>
      <c r="F4287">
        <v>5210010105</v>
      </c>
      <c r="G4287" s="13">
        <v>140000</v>
      </c>
      <c r="I4287" t="s">
        <v>179</v>
      </c>
      <c r="J4287" t="s">
        <v>860</v>
      </c>
      <c r="K4287" t="s">
        <v>180</v>
      </c>
      <c r="L4287">
        <v>200100380</v>
      </c>
    </row>
    <row r="4288" spans="3:12">
      <c r="C4288">
        <v>2100300025</v>
      </c>
      <c r="D4288">
        <v>6426000</v>
      </c>
      <c r="E4288" t="s">
        <v>188</v>
      </c>
      <c r="F4288">
        <v>5210010105</v>
      </c>
      <c r="G4288" s="13">
        <v>24300</v>
      </c>
      <c r="I4288" t="s">
        <v>179</v>
      </c>
      <c r="J4288" t="s">
        <v>860</v>
      </c>
      <c r="K4288" t="s">
        <v>180</v>
      </c>
      <c r="L4288">
        <v>200100387</v>
      </c>
    </row>
    <row r="4289" spans="3:12">
      <c r="C4289">
        <v>2100300025</v>
      </c>
      <c r="D4289">
        <v>6426000</v>
      </c>
      <c r="E4289" t="s">
        <v>188</v>
      </c>
      <c r="F4289">
        <v>5210010105</v>
      </c>
      <c r="G4289" s="13">
        <v>1260</v>
      </c>
      <c r="I4289" t="s">
        <v>179</v>
      </c>
      <c r="J4289" t="s">
        <v>860</v>
      </c>
      <c r="K4289" t="s">
        <v>180</v>
      </c>
      <c r="L4289">
        <v>200100388</v>
      </c>
    </row>
    <row r="4290" spans="3:12">
      <c r="C4290">
        <v>2100300025</v>
      </c>
      <c r="D4290">
        <v>6426000</v>
      </c>
      <c r="E4290" t="s">
        <v>188</v>
      </c>
      <c r="F4290">
        <v>5210010105</v>
      </c>
      <c r="G4290" s="13">
        <v>498500</v>
      </c>
      <c r="I4290" t="s">
        <v>179</v>
      </c>
      <c r="J4290" t="s">
        <v>860</v>
      </c>
      <c r="K4290" t="s">
        <v>180</v>
      </c>
      <c r="L4290">
        <v>200101061</v>
      </c>
    </row>
    <row r="4291" spans="3:12">
      <c r="C4291">
        <v>2100300025</v>
      </c>
      <c r="D4291">
        <v>6426000</v>
      </c>
      <c r="E4291" t="s">
        <v>188</v>
      </c>
      <c r="F4291">
        <v>5210010105</v>
      </c>
      <c r="G4291" s="13">
        <v>7800</v>
      </c>
      <c r="I4291" t="s">
        <v>179</v>
      </c>
      <c r="J4291" t="s">
        <v>860</v>
      </c>
      <c r="K4291" t="s">
        <v>180</v>
      </c>
      <c r="L4291">
        <v>200101606</v>
      </c>
    </row>
    <row r="4292" spans="3:12">
      <c r="C4292">
        <v>2100300025</v>
      </c>
      <c r="D4292">
        <v>6426000</v>
      </c>
      <c r="E4292" t="s">
        <v>188</v>
      </c>
      <c r="F4292">
        <v>5210010105</v>
      </c>
      <c r="G4292" s="13">
        <v>5750</v>
      </c>
      <c r="I4292" t="s">
        <v>179</v>
      </c>
      <c r="J4292" t="s">
        <v>860</v>
      </c>
      <c r="K4292" t="s">
        <v>180</v>
      </c>
      <c r="L4292">
        <v>200100391</v>
      </c>
    </row>
    <row r="4293" spans="3:12">
      <c r="C4293">
        <v>2100300025</v>
      </c>
      <c r="D4293">
        <v>6426000</v>
      </c>
      <c r="E4293" t="s">
        <v>188</v>
      </c>
      <c r="F4293">
        <v>5210010105</v>
      </c>
      <c r="G4293" s="13">
        <v>24285.79</v>
      </c>
      <c r="I4293" t="s">
        <v>179</v>
      </c>
      <c r="J4293" t="s">
        <v>860</v>
      </c>
      <c r="K4293" t="s">
        <v>180</v>
      </c>
      <c r="L4293">
        <v>200101607</v>
      </c>
    </row>
    <row r="4294" spans="3:12">
      <c r="C4294">
        <v>2100300025</v>
      </c>
      <c r="D4294">
        <v>6426000</v>
      </c>
      <c r="E4294" t="s">
        <v>188</v>
      </c>
      <c r="F4294">
        <v>5210010105</v>
      </c>
      <c r="G4294" s="13">
        <v>82570</v>
      </c>
      <c r="I4294" t="s">
        <v>179</v>
      </c>
      <c r="J4294" t="s">
        <v>860</v>
      </c>
      <c r="K4294" t="s">
        <v>180</v>
      </c>
      <c r="L4294">
        <v>200100392</v>
      </c>
    </row>
    <row r="4295" spans="3:12">
      <c r="C4295">
        <v>2100300025</v>
      </c>
      <c r="D4295">
        <v>6426000</v>
      </c>
      <c r="E4295" t="s">
        <v>188</v>
      </c>
      <c r="F4295">
        <v>5210010105</v>
      </c>
      <c r="G4295" s="13">
        <v>18550</v>
      </c>
      <c r="I4295" t="s">
        <v>179</v>
      </c>
      <c r="J4295" t="s">
        <v>857</v>
      </c>
      <c r="K4295" t="s">
        <v>180</v>
      </c>
      <c r="L4295">
        <v>200102506</v>
      </c>
    </row>
    <row r="4296" spans="3:12">
      <c r="C4296">
        <v>2100300025</v>
      </c>
      <c r="D4296">
        <v>6426000</v>
      </c>
      <c r="E4296" t="s">
        <v>188</v>
      </c>
      <c r="F4296">
        <v>5210010105</v>
      </c>
      <c r="G4296" s="13">
        <v>4000000</v>
      </c>
      <c r="I4296" t="s">
        <v>179</v>
      </c>
      <c r="J4296" t="s">
        <v>859</v>
      </c>
      <c r="K4296" t="s">
        <v>180</v>
      </c>
      <c r="L4296">
        <v>200101551</v>
      </c>
    </row>
    <row r="4297" spans="3:12">
      <c r="C4297">
        <v>2100300025</v>
      </c>
      <c r="D4297">
        <v>6426000</v>
      </c>
      <c r="E4297" t="s">
        <v>188</v>
      </c>
      <c r="F4297">
        <v>5210010105</v>
      </c>
      <c r="G4297" s="13">
        <v>27000</v>
      </c>
      <c r="I4297" t="s">
        <v>179</v>
      </c>
      <c r="J4297" t="s">
        <v>861</v>
      </c>
      <c r="K4297" t="s">
        <v>180</v>
      </c>
      <c r="L4297">
        <v>200104038</v>
      </c>
    </row>
    <row r="4298" spans="3:12">
      <c r="C4298">
        <v>2100300025</v>
      </c>
      <c r="D4298">
        <v>6426000</v>
      </c>
      <c r="E4298" t="s">
        <v>188</v>
      </c>
      <c r="F4298">
        <v>5210010105</v>
      </c>
      <c r="G4298" s="13">
        <v>99506.95</v>
      </c>
      <c r="I4298" t="s">
        <v>179</v>
      </c>
      <c r="J4298" t="s">
        <v>861</v>
      </c>
      <c r="K4298" t="s">
        <v>180</v>
      </c>
      <c r="L4298">
        <v>200101933</v>
      </c>
    </row>
    <row r="4299" spans="3:12">
      <c r="C4299">
        <v>2100300025</v>
      </c>
      <c r="D4299">
        <v>6426000</v>
      </c>
      <c r="E4299" t="s">
        <v>188</v>
      </c>
      <c r="F4299">
        <v>5210010105</v>
      </c>
      <c r="G4299" s="13">
        <v>3120</v>
      </c>
      <c r="I4299" t="s">
        <v>179</v>
      </c>
      <c r="J4299" t="s">
        <v>861</v>
      </c>
      <c r="K4299" t="s">
        <v>180</v>
      </c>
      <c r="L4299">
        <v>200104128</v>
      </c>
    </row>
    <row r="4300" spans="3:12">
      <c r="C4300">
        <v>2100300025</v>
      </c>
      <c r="D4300">
        <v>6426000</v>
      </c>
      <c r="E4300" t="s">
        <v>188</v>
      </c>
      <c r="F4300">
        <v>5210010105</v>
      </c>
      <c r="G4300">
        <v>100</v>
      </c>
      <c r="I4300" t="s">
        <v>179</v>
      </c>
      <c r="J4300" t="s">
        <v>861</v>
      </c>
      <c r="K4300" t="s">
        <v>180</v>
      </c>
      <c r="L4300">
        <v>200101934</v>
      </c>
    </row>
    <row r="4301" spans="3:12">
      <c r="C4301">
        <v>2100300025</v>
      </c>
      <c r="D4301">
        <v>6426000</v>
      </c>
      <c r="E4301" t="s">
        <v>188</v>
      </c>
      <c r="F4301">
        <v>5210010105</v>
      </c>
      <c r="G4301" s="13">
        <v>10200</v>
      </c>
      <c r="I4301" t="s">
        <v>179</v>
      </c>
      <c r="J4301" t="s">
        <v>861</v>
      </c>
      <c r="K4301" t="s">
        <v>180</v>
      </c>
      <c r="L4301">
        <v>200100868</v>
      </c>
    </row>
    <row r="4302" spans="3:12">
      <c r="C4302">
        <v>2100300025</v>
      </c>
      <c r="D4302">
        <v>6426000</v>
      </c>
      <c r="E4302" t="s">
        <v>188</v>
      </c>
      <c r="F4302">
        <v>5210010105</v>
      </c>
      <c r="G4302" s="13">
        <v>10512</v>
      </c>
      <c r="I4302" t="s">
        <v>179</v>
      </c>
      <c r="J4302" t="s">
        <v>861</v>
      </c>
      <c r="K4302" t="s">
        <v>180</v>
      </c>
      <c r="L4302">
        <v>200102175</v>
      </c>
    </row>
    <row r="4303" spans="3:12">
      <c r="C4303">
        <v>2100300025</v>
      </c>
      <c r="D4303">
        <v>6426000</v>
      </c>
      <c r="E4303" t="s">
        <v>188</v>
      </c>
      <c r="F4303">
        <v>5210010105</v>
      </c>
      <c r="G4303">
        <v>100</v>
      </c>
      <c r="I4303" t="s">
        <v>179</v>
      </c>
      <c r="J4303" t="s">
        <v>861</v>
      </c>
      <c r="K4303" t="s">
        <v>180</v>
      </c>
      <c r="L4303">
        <v>200104438</v>
      </c>
    </row>
    <row r="4304" spans="3:12">
      <c r="C4304">
        <v>2100300025</v>
      </c>
      <c r="D4304">
        <v>6426000</v>
      </c>
      <c r="E4304" t="s">
        <v>188</v>
      </c>
      <c r="F4304">
        <v>5210010105</v>
      </c>
      <c r="G4304" s="13">
        <v>78217</v>
      </c>
      <c r="I4304" t="s">
        <v>179</v>
      </c>
      <c r="J4304" t="s">
        <v>861</v>
      </c>
      <c r="K4304" t="s">
        <v>180</v>
      </c>
      <c r="L4304">
        <v>200104439</v>
      </c>
    </row>
    <row r="4305" spans="3:12">
      <c r="C4305">
        <v>2100300025</v>
      </c>
      <c r="D4305">
        <v>6426000</v>
      </c>
      <c r="E4305" t="s">
        <v>188</v>
      </c>
      <c r="F4305">
        <v>5210010105</v>
      </c>
      <c r="G4305">
        <v>910</v>
      </c>
      <c r="I4305" t="s">
        <v>179</v>
      </c>
      <c r="J4305" t="s">
        <v>974</v>
      </c>
      <c r="K4305" t="s">
        <v>180</v>
      </c>
      <c r="L4305">
        <v>200109349</v>
      </c>
    </row>
    <row r="4306" spans="3:12">
      <c r="C4306">
        <v>2100300025</v>
      </c>
      <c r="D4306">
        <v>6426000</v>
      </c>
      <c r="E4306" t="s">
        <v>188</v>
      </c>
      <c r="F4306">
        <v>5210010105</v>
      </c>
      <c r="G4306" s="13">
        <v>1775</v>
      </c>
      <c r="I4306" t="s">
        <v>179</v>
      </c>
      <c r="J4306" t="s">
        <v>974</v>
      </c>
      <c r="K4306" t="s">
        <v>180</v>
      </c>
      <c r="L4306">
        <v>200109511</v>
      </c>
    </row>
    <row r="4307" spans="3:12">
      <c r="C4307">
        <v>2100300025</v>
      </c>
      <c r="D4307">
        <v>6426000</v>
      </c>
      <c r="E4307" t="s">
        <v>188</v>
      </c>
      <c r="F4307">
        <v>5210010105</v>
      </c>
      <c r="G4307" s="13">
        <v>2000</v>
      </c>
      <c r="I4307" t="s">
        <v>179</v>
      </c>
      <c r="J4307" t="s">
        <v>974</v>
      </c>
      <c r="K4307" t="s">
        <v>180</v>
      </c>
      <c r="L4307">
        <v>200109350</v>
      </c>
    </row>
    <row r="4308" spans="3:12">
      <c r="C4308">
        <v>2100300025</v>
      </c>
      <c r="D4308">
        <v>6426000</v>
      </c>
      <c r="E4308" t="s">
        <v>188</v>
      </c>
      <c r="F4308">
        <v>5210010105</v>
      </c>
      <c r="G4308" s="13">
        <v>1653.15</v>
      </c>
      <c r="I4308" t="s">
        <v>179</v>
      </c>
      <c r="J4308" t="s">
        <v>974</v>
      </c>
      <c r="K4308" t="s">
        <v>180</v>
      </c>
      <c r="L4308">
        <v>200109351</v>
      </c>
    </row>
    <row r="4309" spans="3:12">
      <c r="C4309">
        <v>2100300025</v>
      </c>
      <c r="D4309">
        <v>6426000</v>
      </c>
      <c r="E4309" t="s">
        <v>188</v>
      </c>
      <c r="F4309">
        <v>5210010105</v>
      </c>
      <c r="G4309" s="13">
        <v>2000</v>
      </c>
      <c r="I4309" t="s">
        <v>179</v>
      </c>
      <c r="J4309" t="s">
        <v>974</v>
      </c>
      <c r="K4309" t="s">
        <v>180</v>
      </c>
      <c r="L4309">
        <v>200109512</v>
      </c>
    </row>
    <row r="4310" spans="3:12">
      <c r="C4310">
        <v>2100300025</v>
      </c>
      <c r="D4310">
        <v>6426000</v>
      </c>
      <c r="E4310" t="s">
        <v>188</v>
      </c>
      <c r="F4310">
        <v>5210010105</v>
      </c>
      <c r="G4310">
        <v>435</v>
      </c>
      <c r="I4310" t="s">
        <v>179</v>
      </c>
      <c r="J4310" t="s">
        <v>975</v>
      </c>
      <c r="K4310" t="s">
        <v>180</v>
      </c>
      <c r="L4310">
        <v>200109022</v>
      </c>
    </row>
    <row r="4311" spans="3:12">
      <c r="C4311">
        <v>2100300025</v>
      </c>
      <c r="D4311">
        <v>6426000</v>
      </c>
      <c r="E4311" t="s">
        <v>188</v>
      </c>
      <c r="F4311">
        <v>5210010105</v>
      </c>
      <c r="G4311" s="13">
        <v>1120</v>
      </c>
      <c r="I4311" t="s">
        <v>179</v>
      </c>
      <c r="J4311" t="s">
        <v>975</v>
      </c>
      <c r="K4311" t="s">
        <v>180</v>
      </c>
      <c r="L4311">
        <v>200109023</v>
      </c>
    </row>
    <row r="4312" spans="3:12">
      <c r="C4312">
        <v>2100300025</v>
      </c>
      <c r="D4312">
        <v>6426000</v>
      </c>
      <c r="E4312" t="s">
        <v>188</v>
      </c>
      <c r="F4312">
        <v>5210010105</v>
      </c>
      <c r="G4312" s="13">
        <v>5950</v>
      </c>
      <c r="I4312" t="s">
        <v>179</v>
      </c>
      <c r="J4312" t="s">
        <v>975</v>
      </c>
      <c r="K4312" t="s">
        <v>180</v>
      </c>
      <c r="L4312">
        <v>200109024</v>
      </c>
    </row>
    <row r="4313" spans="3:12">
      <c r="C4313">
        <v>2100300025</v>
      </c>
      <c r="D4313">
        <v>6426000</v>
      </c>
      <c r="E4313" t="s">
        <v>188</v>
      </c>
      <c r="F4313">
        <v>5210010105</v>
      </c>
      <c r="G4313" s="13">
        <v>2800</v>
      </c>
      <c r="I4313" t="s">
        <v>179</v>
      </c>
      <c r="J4313" t="s">
        <v>975</v>
      </c>
      <c r="K4313" t="s">
        <v>180</v>
      </c>
      <c r="L4313">
        <v>200106679</v>
      </c>
    </row>
    <row r="4314" spans="3:12">
      <c r="C4314">
        <v>2100300025</v>
      </c>
      <c r="D4314">
        <v>6426000</v>
      </c>
      <c r="E4314" t="s">
        <v>188</v>
      </c>
      <c r="F4314">
        <v>5210010105</v>
      </c>
      <c r="G4314" s="13">
        <v>6758</v>
      </c>
      <c r="I4314" t="s">
        <v>179</v>
      </c>
      <c r="J4314" t="s">
        <v>976</v>
      </c>
      <c r="K4314" t="s">
        <v>180</v>
      </c>
      <c r="L4314">
        <v>200088052</v>
      </c>
    </row>
    <row r="4315" spans="3:12">
      <c r="C4315">
        <v>2100300025</v>
      </c>
      <c r="D4315">
        <v>6426000</v>
      </c>
      <c r="E4315" t="s">
        <v>188</v>
      </c>
      <c r="F4315">
        <v>5210010105</v>
      </c>
      <c r="G4315" s="13">
        <v>16971</v>
      </c>
      <c r="I4315" t="s">
        <v>179</v>
      </c>
      <c r="J4315" t="s">
        <v>976</v>
      </c>
      <c r="K4315" t="s">
        <v>180</v>
      </c>
      <c r="L4315">
        <v>200103755</v>
      </c>
    </row>
    <row r="4316" spans="3:12">
      <c r="C4316">
        <v>2100300025</v>
      </c>
      <c r="D4316">
        <v>6426000</v>
      </c>
      <c r="E4316" t="s">
        <v>188</v>
      </c>
      <c r="F4316">
        <v>5210010105</v>
      </c>
      <c r="G4316" s="13">
        <v>2675</v>
      </c>
      <c r="I4316" t="s">
        <v>179</v>
      </c>
      <c r="J4316" t="s">
        <v>976</v>
      </c>
      <c r="K4316" t="s">
        <v>180</v>
      </c>
      <c r="L4316">
        <v>200103763</v>
      </c>
    </row>
    <row r="4317" spans="3:12">
      <c r="C4317">
        <v>2100300025</v>
      </c>
      <c r="D4317">
        <v>6426000</v>
      </c>
      <c r="E4317" t="s">
        <v>188</v>
      </c>
      <c r="F4317">
        <v>5210010105</v>
      </c>
      <c r="G4317" s="13">
        <v>2525</v>
      </c>
      <c r="I4317" t="s">
        <v>179</v>
      </c>
      <c r="J4317" t="s">
        <v>977</v>
      </c>
      <c r="K4317" t="s">
        <v>180</v>
      </c>
      <c r="L4317">
        <v>200108559</v>
      </c>
    </row>
    <row r="4318" spans="3:12">
      <c r="C4318">
        <v>2100300025</v>
      </c>
      <c r="D4318">
        <v>6426000</v>
      </c>
      <c r="E4318" t="s">
        <v>188</v>
      </c>
      <c r="F4318">
        <v>5210010105</v>
      </c>
      <c r="G4318" s="13">
        <v>410489</v>
      </c>
      <c r="I4318" t="s">
        <v>179</v>
      </c>
      <c r="J4318" t="s">
        <v>967</v>
      </c>
      <c r="K4318" t="s">
        <v>180</v>
      </c>
      <c r="L4318">
        <v>200091985</v>
      </c>
    </row>
    <row r="4319" spans="3:12">
      <c r="C4319">
        <v>2100300025</v>
      </c>
      <c r="D4319">
        <v>6426000</v>
      </c>
      <c r="E4319" t="s">
        <v>188</v>
      </c>
      <c r="F4319">
        <v>5210010105</v>
      </c>
      <c r="G4319" s="13">
        <v>4800</v>
      </c>
      <c r="I4319" t="s">
        <v>179</v>
      </c>
      <c r="J4319" t="s">
        <v>977</v>
      </c>
      <c r="K4319" t="s">
        <v>180</v>
      </c>
      <c r="L4319">
        <v>200108515</v>
      </c>
    </row>
    <row r="4320" spans="3:12">
      <c r="C4320">
        <v>2100300025</v>
      </c>
      <c r="D4320">
        <v>6426000</v>
      </c>
      <c r="E4320" t="s">
        <v>188</v>
      </c>
      <c r="F4320">
        <v>5210010105</v>
      </c>
      <c r="G4320" s="13">
        <v>77560</v>
      </c>
      <c r="I4320" t="s">
        <v>179</v>
      </c>
      <c r="J4320" t="s">
        <v>977</v>
      </c>
      <c r="K4320" t="s">
        <v>180</v>
      </c>
      <c r="L4320">
        <v>200108518</v>
      </c>
    </row>
    <row r="4321" spans="3:12">
      <c r="C4321">
        <v>2100300025</v>
      </c>
      <c r="D4321">
        <v>6426000</v>
      </c>
      <c r="E4321" t="s">
        <v>188</v>
      </c>
      <c r="F4321">
        <v>5210010105</v>
      </c>
      <c r="G4321" s="13">
        <v>10570</v>
      </c>
      <c r="I4321" t="s">
        <v>179</v>
      </c>
      <c r="J4321" t="s">
        <v>977</v>
      </c>
      <c r="K4321" t="s">
        <v>180</v>
      </c>
      <c r="L4321">
        <v>200108519</v>
      </c>
    </row>
    <row r="4322" spans="3:12">
      <c r="C4322">
        <v>2100300025</v>
      </c>
      <c r="D4322">
        <v>6426000</v>
      </c>
      <c r="E4322" t="s">
        <v>188</v>
      </c>
      <c r="F4322">
        <v>5210010105</v>
      </c>
      <c r="G4322" s="13">
        <v>12000</v>
      </c>
      <c r="I4322" t="s">
        <v>179</v>
      </c>
      <c r="J4322" t="s">
        <v>977</v>
      </c>
      <c r="K4322" t="s">
        <v>180</v>
      </c>
      <c r="L4322">
        <v>200108522</v>
      </c>
    </row>
    <row r="4323" spans="3:12">
      <c r="C4323">
        <v>2100300025</v>
      </c>
      <c r="D4323">
        <v>6426000</v>
      </c>
      <c r="E4323" t="s">
        <v>188</v>
      </c>
      <c r="F4323">
        <v>5210010105</v>
      </c>
      <c r="G4323" s="13">
        <v>3040</v>
      </c>
      <c r="I4323" t="s">
        <v>179</v>
      </c>
      <c r="J4323" t="s">
        <v>977</v>
      </c>
      <c r="K4323" t="s">
        <v>180</v>
      </c>
      <c r="L4323">
        <v>200108523</v>
      </c>
    </row>
    <row r="4324" spans="3:12">
      <c r="C4324">
        <v>2100300025</v>
      </c>
      <c r="D4324">
        <v>6426000</v>
      </c>
      <c r="E4324" t="s">
        <v>188</v>
      </c>
      <c r="F4324">
        <v>5210010105</v>
      </c>
      <c r="G4324" s="13">
        <v>1520</v>
      </c>
      <c r="I4324" t="s">
        <v>179</v>
      </c>
      <c r="J4324" t="s">
        <v>977</v>
      </c>
      <c r="K4324" t="s">
        <v>180</v>
      </c>
      <c r="L4324">
        <v>200108524</v>
      </c>
    </row>
    <row r="4325" spans="3:12">
      <c r="C4325">
        <v>2100300025</v>
      </c>
      <c r="D4325">
        <v>6426000</v>
      </c>
      <c r="E4325" t="s">
        <v>188</v>
      </c>
      <c r="F4325">
        <v>5210010105</v>
      </c>
      <c r="G4325" s="13">
        <v>-1611.42</v>
      </c>
      <c r="I4325" t="s">
        <v>179</v>
      </c>
      <c r="J4325" t="s">
        <v>978</v>
      </c>
      <c r="K4325" t="s">
        <v>180</v>
      </c>
      <c r="L4325">
        <v>200124881</v>
      </c>
    </row>
    <row r="4326" spans="3:12">
      <c r="C4326">
        <v>2100300025</v>
      </c>
      <c r="D4326">
        <v>6426000</v>
      </c>
      <c r="E4326" t="s">
        <v>188</v>
      </c>
      <c r="F4326">
        <v>5210010105</v>
      </c>
      <c r="G4326">
        <v>-950</v>
      </c>
      <c r="I4326" t="s">
        <v>179</v>
      </c>
      <c r="J4326" t="s">
        <v>862</v>
      </c>
      <c r="K4326" t="s">
        <v>180</v>
      </c>
      <c r="L4326">
        <v>200110489</v>
      </c>
    </row>
    <row r="4327" spans="3:12">
      <c r="C4327">
        <v>2100300025</v>
      </c>
      <c r="D4327">
        <v>6426000</v>
      </c>
      <c r="E4327" t="s">
        <v>188</v>
      </c>
      <c r="F4327">
        <v>5210010105</v>
      </c>
      <c r="G4327" s="13">
        <v>-63120</v>
      </c>
      <c r="I4327" t="s">
        <v>179</v>
      </c>
      <c r="J4327" t="s">
        <v>865</v>
      </c>
      <c r="K4327" t="s">
        <v>180</v>
      </c>
      <c r="L4327">
        <v>200047272</v>
      </c>
    </row>
    <row r="4328" spans="3:12">
      <c r="C4328">
        <v>2100300025</v>
      </c>
      <c r="D4328">
        <v>6426000</v>
      </c>
      <c r="E4328" t="s">
        <v>188</v>
      </c>
      <c r="F4328">
        <v>5210010105</v>
      </c>
      <c r="G4328" s="13">
        <v>-1420053.75</v>
      </c>
      <c r="I4328" t="s">
        <v>179</v>
      </c>
      <c r="J4328" t="s">
        <v>865</v>
      </c>
      <c r="K4328" t="s">
        <v>180</v>
      </c>
      <c r="L4328">
        <v>200047273</v>
      </c>
    </row>
    <row r="4329" spans="3:12">
      <c r="C4329">
        <v>2100300025</v>
      </c>
      <c r="D4329">
        <v>6426000</v>
      </c>
      <c r="E4329" t="s">
        <v>188</v>
      </c>
      <c r="F4329">
        <v>5210010105</v>
      </c>
      <c r="G4329" s="13">
        <v>8000</v>
      </c>
      <c r="I4329" t="s">
        <v>179</v>
      </c>
      <c r="J4329" t="s">
        <v>868</v>
      </c>
      <c r="K4329" t="s">
        <v>180</v>
      </c>
      <c r="L4329">
        <v>200109422</v>
      </c>
    </row>
    <row r="4330" spans="3:12">
      <c r="C4330">
        <v>2100300025</v>
      </c>
      <c r="D4330">
        <v>6426000</v>
      </c>
      <c r="E4330" t="s">
        <v>188</v>
      </c>
      <c r="F4330">
        <v>5210010105</v>
      </c>
      <c r="G4330" s="13">
        <v>24470</v>
      </c>
      <c r="I4330" t="s">
        <v>179</v>
      </c>
      <c r="J4330" t="s">
        <v>868</v>
      </c>
      <c r="K4330" t="s">
        <v>180</v>
      </c>
      <c r="L4330">
        <v>200109423</v>
      </c>
    </row>
    <row r="4331" spans="3:12">
      <c r="C4331">
        <v>2100300025</v>
      </c>
      <c r="D4331">
        <v>6426000</v>
      </c>
      <c r="E4331" t="s">
        <v>188</v>
      </c>
      <c r="F4331">
        <v>5210010105</v>
      </c>
      <c r="G4331" s="13">
        <v>1620</v>
      </c>
      <c r="I4331" t="s">
        <v>179</v>
      </c>
      <c r="J4331" t="s">
        <v>868</v>
      </c>
      <c r="K4331" t="s">
        <v>180</v>
      </c>
      <c r="L4331">
        <v>200113268</v>
      </c>
    </row>
    <row r="4332" spans="3:12">
      <c r="C4332">
        <v>2100300025</v>
      </c>
      <c r="D4332">
        <v>6426000</v>
      </c>
      <c r="E4332" t="s">
        <v>188</v>
      </c>
      <c r="F4332">
        <v>5210010105</v>
      </c>
      <c r="G4332" s="13">
        <v>55479.5</v>
      </c>
      <c r="I4332" t="s">
        <v>179</v>
      </c>
      <c r="J4332" t="s">
        <v>868</v>
      </c>
      <c r="K4332" t="s">
        <v>180</v>
      </c>
      <c r="L4332">
        <v>200113269</v>
      </c>
    </row>
    <row r="4333" spans="3:12">
      <c r="C4333">
        <v>2100300025</v>
      </c>
      <c r="D4333">
        <v>6426000</v>
      </c>
      <c r="E4333" t="s">
        <v>188</v>
      </c>
      <c r="F4333">
        <v>5210010105</v>
      </c>
      <c r="G4333" s="13">
        <v>1600</v>
      </c>
      <c r="I4333" t="s">
        <v>179</v>
      </c>
      <c r="J4333" t="s">
        <v>979</v>
      </c>
      <c r="K4333" t="s">
        <v>180</v>
      </c>
      <c r="L4333">
        <v>200117407</v>
      </c>
    </row>
    <row r="4334" spans="3:12">
      <c r="C4334">
        <v>2100300025</v>
      </c>
      <c r="D4334">
        <v>6426000</v>
      </c>
      <c r="E4334" t="s">
        <v>188</v>
      </c>
      <c r="F4334">
        <v>5210010105</v>
      </c>
      <c r="G4334" s="13">
        <v>3771</v>
      </c>
      <c r="I4334" t="s">
        <v>179</v>
      </c>
      <c r="J4334" t="s">
        <v>979</v>
      </c>
      <c r="K4334" t="s">
        <v>180</v>
      </c>
      <c r="L4334">
        <v>200116988</v>
      </c>
    </row>
    <row r="4335" spans="3:12">
      <c r="C4335">
        <v>2100300025</v>
      </c>
      <c r="D4335">
        <v>6426000</v>
      </c>
      <c r="E4335" t="s">
        <v>188</v>
      </c>
      <c r="F4335">
        <v>5210010105</v>
      </c>
      <c r="G4335" s="13">
        <v>2500</v>
      </c>
      <c r="I4335" t="s">
        <v>179</v>
      </c>
      <c r="J4335" t="s">
        <v>979</v>
      </c>
      <c r="K4335" t="s">
        <v>180</v>
      </c>
      <c r="L4335">
        <v>200116989</v>
      </c>
    </row>
    <row r="4336" spans="3:12">
      <c r="C4336">
        <v>2100300025</v>
      </c>
      <c r="D4336">
        <v>6426000</v>
      </c>
      <c r="E4336" t="s">
        <v>188</v>
      </c>
      <c r="F4336">
        <v>5210010105</v>
      </c>
      <c r="G4336" s="13">
        <v>1773</v>
      </c>
      <c r="I4336" t="s">
        <v>179</v>
      </c>
      <c r="J4336" t="s">
        <v>980</v>
      </c>
      <c r="K4336" t="s">
        <v>180</v>
      </c>
      <c r="L4336">
        <v>200117525</v>
      </c>
    </row>
    <row r="4337" spans="3:12">
      <c r="C4337">
        <v>2100300025</v>
      </c>
      <c r="D4337">
        <v>6426000</v>
      </c>
      <c r="E4337" t="s">
        <v>188</v>
      </c>
      <c r="F4337">
        <v>5210010105</v>
      </c>
      <c r="G4337" s="13">
        <v>1500</v>
      </c>
      <c r="I4337" t="s">
        <v>179</v>
      </c>
      <c r="J4337" t="s">
        <v>980</v>
      </c>
      <c r="K4337" t="s">
        <v>180</v>
      </c>
      <c r="L4337">
        <v>200120705</v>
      </c>
    </row>
    <row r="4338" spans="3:12">
      <c r="C4338">
        <v>2100300025</v>
      </c>
      <c r="D4338">
        <v>6426000</v>
      </c>
      <c r="E4338" t="s">
        <v>188</v>
      </c>
      <c r="F4338">
        <v>5210010105</v>
      </c>
      <c r="G4338" s="13">
        <v>4800</v>
      </c>
      <c r="I4338" t="s">
        <v>179</v>
      </c>
      <c r="J4338" t="s">
        <v>980</v>
      </c>
      <c r="K4338" t="s">
        <v>180</v>
      </c>
      <c r="L4338">
        <v>200118324</v>
      </c>
    </row>
    <row r="4339" spans="3:12">
      <c r="C4339">
        <v>2100300025</v>
      </c>
      <c r="D4339">
        <v>6426000</v>
      </c>
      <c r="E4339" t="s">
        <v>188</v>
      </c>
      <c r="F4339">
        <v>5210010105</v>
      </c>
      <c r="G4339" s="13">
        <v>2000</v>
      </c>
      <c r="I4339" t="s">
        <v>179</v>
      </c>
      <c r="J4339" t="s">
        <v>980</v>
      </c>
      <c r="K4339" t="s">
        <v>180</v>
      </c>
      <c r="L4339">
        <v>200119079</v>
      </c>
    </row>
    <row r="4340" spans="3:12">
      <c r="C4340">
        <v>2100300025</v>
      </c>
      <c r="D4340">
        <v>6426000</v>
      </c>
      <c r="E4340" t="s">
        <v>188</v>
      </c>
      <c r="F4340">
        <v>5210010105</v>
      </c>
      <c r="G4340" s="13">
        <v>2800</v>
      </c>
      <c r="I4340" t="s">
        <v>179</v>
      </c>
      <c r="J4340" t="s">
        <v>980</v>
      </c>
      <c r="K4340" t="s">
        <v>180</v>
      </c>
      <c r="L4340">
        <v>200120671</v>
      </c>
    </row>
    <row r="4341" spans="3:12">
      <c r="C4341">
        <v>2100300025</v>
      </c>
      <c r="D4341">
        <v>6426000</v>
      </c>
      <c r="E4341" t="s">
        <v>188</v>
      </c>
      <c r="F4341">
        <v>5210010105</v>
      </c>
      <c r="G4341" s="13">
        <v>1000</v>
      </c>
      <c r="I4341" t="s">
        <v>179</v>
      </c>
      <c r="J4341" t="s">
        <v>980</v>
      </c>
      <c r="K4341" t="s">
        <v>180</v>
      </c>
      <c r="L4341">
        <v>200120672</v>
      </c>
    </row>
    <row r="4342" spans="3:12">
      <c r="C4342">
        <v>2100300025</v>
      </c>
      <c r="D4342">
        <v>6426000</v>
      </c>
      <c r="E4342" t="s">
        <v>188</v>
      </c>
      <c r="F4342">
        <v>5210010105</v>
      </c>
      <c r="G4342" s="13">
        <v>65625.86</v>
      </c>
      <c r="I4342" t="s">
        <v>179</v>
      </c>
      <c r="J4342" t="s">
        <v>980</v>
      </c>
      <c r="K4342" t="s">
        <v>180</v>
      </c>
      <c r="L4342">
        <v>200119430</v>
      </c>
    </row>
    <row r="4343" spans="3:12">
      <c r="C4343">
        <v>2100300025</v>
      </c>
      <c r="D4343">
        <v>6426000</v>
      </c>
      <c r="E4343" t="s">
        <v>188</v>
      </c>
      <c r="F4343">
        <v>5210010105</v>
      </c>
      <c r="G4343" s="13">
        <v>13300</v>
      </c>
      <c r="I4343" t="s">
        <v>179</v>
      </c>
      <c r="J4343" t="s">
        <v>980</v>
      </c>
      <c r="K4343" t="s">
        <v>180</v>
      </c>
      <c r="L4343">
        <v>200120546</v>
      </c>
    </row>
    <row r="4344" spans="3:12">
      <c r="C4344">
        <v>2100300025</v>
      </c>
      <c r="D4344">
        <v>6426000</v>
      </c>
      <c r="E4344" t="s">
        <v>188</v>
      </c>
      <c r="F4344">
        <v>5210010105</v>
      </c>
      <c r="G4344" s="13">
        <v>135600</v>
      </c>
      <c r="I4344" t="s">
        <v>179</v>
      </c>
      <c r="J4344" t="s">
        <v>979</v>
      </c>
      <c r="K4344" t="s">
        <v>180</v>
      </c>
      <c r="L4344">
        <v>200115591</v>
      </c>
    </row>
    <row r="4345" spans="3:12">
      <c r="C4345">
        <v>2100300025</v>
      </c>
      <c r="D4345">
        <v>6426000</v>
      </c>
      <c r="E4345" t="s">
        <v>188</v>
      </c>
      <c r="F4345">
        <v>5210010105</v>
      </c>
      <c r="G4345" s="13">
        <v>23540</v>
      </c>
      <c r="I4345" t="s">
        <v>179</v>
      </c>
      <c r="J4345" t="s">
        <v>979</v>
      </c>
      <c r="K4345" t="s">
        <v>180</v>
      </c>
      <c r="L4345">
        <v>200115592</v>
      </c>
    </row>
    <row r="4346" spans="3:12">
      <c r="C4346">
        <v>2100300025</v>
      </c>
      <c r="D4346">
        <v>6426000</v>
      </c>
      <c r="E4346" t="s">
        <v>188</v>
      </c>
      <c r="F4346">
        <v>5210010105</v>
      </c>
      <c r="G4346" s="13">
        <v>2600</v>
      </c>
      <c r="I4346" t="s">
        <v>179</v>
      </c>
      <c r="J4346" t="s">
        <v>979</v>
      </c>
      <c r="K4346" t="s">
        <v>180</v>
      </c>
      <c r="L4346">
        <v>200112964</v>
      </c>
    </row>
    <row r="4347" spans="3:12">
      <c r="C4347">
        <v>2100300025</v>
      </c>
      <c r="D4347">
        <v>6426000</v>
      </c>
      <c r="E4347" t="s">
        <v>188</v>
      </c>
      <c r="F4347">
        <v>5210010105</v>
      </c>
      <c r="G4347" s="13">
        <v>1896</v>
      </c>
      <c r="I4347" t="s">
        <v>179</v>
      </c>
      <c r="J4347" t="s">
        <v>979</v>
      </c>
      <c r="K4347" t="s">
        <v>180</v>
      </c>
      <c r="L4347">
        <v>200115594</v>
      </c>
    </row>
    <row r="4348" spans="3:12">
      <c r="C4348">
        <v>2100300025</v>
      </c>
      <c r="D4348">
        <v>6426000</v>
      </c>
      <c r="E4348" t="s">
        <v>188</v>
      </c>
      <c r="F4348">
        <v>5210010105</v>
      </c>
      <c r="G4348" s="13">
        <v>2134</v>
      </c>
      <c r="I4348" t="s">
        <v>179</v>
      </c>
      <c r="J4348" t="s">
        <v>979</v>
      </c>
      <c r="K4348" t="s">
        <v>180</v>
      </c>
      <c r="L4348">
        <v>200113444</v>
      </c>
    </row>
    <row r="4349" spans="3:12">
      <c r="C4349">
        <v>2100300025</v>
      </c>
      <c r="D4349">
        <v>6426000</v>
      </c>
      <c r="E4349" t="s">
        <v>188</v>
      </c>
      <c r="F4349">
        <v>5210010105</v>
      </c>
      <c r="G4349" s="13">
        <v>3500</v>
      </c>
      <c r="I4349" t="s">
        <v>179</v>
      </c>
      <c r="J4349" t="s">
        <v>979</v>
      </c>
      <c r="K4349" t="s">
        <v>180</v>
      </c>
      <c r="L4349">
        <v>200113799</v>
      </c>
    </row>
    <row r="4350" spans="3:12">
      <c r="C4350">
        <v>2100300025</v>
      </c>
      <c r="D4350">
        <v>6426000</v>
      </c>
      <c r="E4350" t="s">
        <v>188</v>
      </c>
      <c r="F4350">
        <v>5210010105</v>
      </c>
      <c r="G4350" s="13">
        <v>3638</v>
      </c>
      <c r="I4350" t="s">
        <v>179</v>
      </c>
      <c r="J4350" t="s">
        <v>979</v>
      </c>
      <c r="K4350" t="s">
        <v>180</v>
      </c>
      <c r="L4350">
        <v>200112966</v>
      </c>
    </row>
    <row r="4351" spans="3:12">
      <c r="C4351">
        <v>2100300025</v>
      </c>
      <c r="D4351">
        <v>6426000</v>
      </c>
      <c r="E4351" t="s">
        <v>188</v>
      </c>
      <c r="F4351">
        <v>5210010105</v>
      </c>
      <c r="G4351" s="13">
        <v>2900</v>
      </c>
      <c r="I4351" t="s">
        <v>179</v>
      </c>
      <c r="J4351" t="s">
        <v>979</v>
      </c>
      <c r="K4351" t="s">
        <v>180</v>
      </c>
      <c r="L4351">
        <v>200115595</v>
      </c>
    </row>
    <row r="4352" spans="3:12">
      <c r="C4352">
        <v>2100300025</v>
      </c>
      <c r="D4352">
        <v>6426000</v>
      </c>
      <c r="E4352" t="s">
        <v>188</v>
      </c>
      <c r="F4352">
        <v>5210010105</v>
      </c>
      <c r="G4352" s="13">
        <v>2910</v>
      </c>
      <c r="I4352" t="s">
        <v>179</v>
      </c>
      <c r="J4352" t="s">
        <v>979</v>
      </c>
      <c r="K4352" t="s">
        <v>180</v>
      </c>
      <c r="L4352">
        <v>200117303</v>
      </c>
    </row>
    <row r="4353" spans="3:12">
      <c r="C4353">
        <v>2100300025</v>
      </c>
      <c r="D4353">
        <v>6426000</v>
      </c>
      <c r="E4353" t="s">
        <v>188</v>
      </c>
      <c r="F4353">
        <v>5210010105</v>
      </c>
      <c r="G4353" s="13">
        <v>16800</v>
      </c>
      <c r="I4353" t="s">
        <v>179</v>
      </c>
      <c r="J4353" t="s">
        <v>979</v>
      </c>
      <c r="K4353" t="s">
        <v>180</v>
      </c>
      <c r="L4353">
        <v>200117304</v>
      </c>
    </row>
    <row r="4354" spans="3:12">
      <c r="C4354">
        <v>2100300025</v>
      </c>
      <c r="D4354">
        <v>6426000</v>
      </c>
      <c r="E4354" t="s">
        <v>188</v>
      </c>
      <c r="F4354">
        <v>5210010105</v>
      </c>
      <c r="G4354" s="13">
        <v>8822</v>
      </c>
      <c r="I4354" t="s">
        <v>179</v>
      </c>
      <c r="J4354" t="s">
        <v>979</v>
      </c>
      <c r="K4354" t="s">
        <v>180</v>
      </c>
      <c r="L4354">
        <v>200117305</v>
      </c>
    </row>
    <row r="4355" spans="3:12">
      <c r="C4355">
        <v>2100300025</v>
      </c>
      <c r="D4355">
        <v>6426000</v>
      </c>
      <c r="E4355" t="s">
        <v>188</v>
      </c>
      <c r="F4355">
        <v>5210010105</v>
      </c>
      <c r="G4355" s="13">
        <v>1237.5</v>
      </c>
      <c r="I4355" t="s">
        <v>179</v>
      </c>
      <c r="J4355" t="s">
        <v>978</v>
      </c>
      <c r="K4355" t="s">
        <v>180</v>
      </c>
      <c r="L4355">
        <v>200125706</v>
      </c>
    </row>
    <row r="4356" spans="3:12">
      <c r="C4356">
        <v>2100300025</v>
      </c>
      <c r="D4356">
        <v>6426000</v>
      </c>
      <c r="E4356" t="s">
        <v>188</v>
      </c>
      <c r="F4356">
        <v>5210010105</v>
      </c>
      <c r="G4356" s="13">
        <v>3360</v>
      </c>
      <c r="I4356" t="s">
        <v>179</v>
      </c>
      <c r="J4356" t="s">
        <v>862</v>
      </c>
      <c r="K4356" t="s">
        <v>180</v>
      </c>
      <c r="L4356">
        <v>200106457</v>
      </c>
    </row>
    <row r="4357" spans="3:12">
      <c r="C4357">
        <v>2100300025</v>
      </c>
      <c r="D4357">
        <v>6426000</v>
      </c>
      <c r="E4357" t="s">
        <v>188</v>
      </c>
      <c r="F4357">
        <v>5210010105</v>
      </c>
      <c r="G4357" s="13">
        <v>1000</v>
      </c>
      <c r="I4357" t="s">
        <v>179</v>
      </c>
      <c r="J4357" t="s">
        <v>862</v>
      </c>
      <c r="K4357" t="s">
        <v>180</v>
      </c>
      <c r="L4357">
        <v>200112611</v>
      </c>
    </row>
    <row r="4358" spans="3:12">
      <c r="C4358">
        <v>2100300025</v>
      </c>
      <c r="D4358">
        <v>6426000</v>
      </c>
      <c r="E4358" t="s">
        <v>188</v>
      </c>
      <c r="F4358">
        <v>5210010105</v>
      </c>
      <c r="G4358" s="13">
        <v>2615</v>
      </c>
      <c r="I4358" t="s">
        <v>179</v>
      </c>
      <c r="J4358" t="s">
        <v>862</v>
      </c>
      <c r="K4358" t="s">
        <v>180</v>
      </c>
      <c r="L4358">
        <v>200110822</v>
      </c>
    </row>
    <row r="4359" spans="3:12">
      <c r="C4359">
        <v>2100300025</v>
      </c>
      <c r="D4359">
        <v>6426000</v>
      </c>
      <c r="E4359" t="s">
        <v>188</v>
      </c>
      <c r="F4359">
        <v>5210010105</v>
      </c>
      <c r="G4359" s="13">
        <v>3500</v>
      </c>
      <c r="I4359" t="s">
        <v>179</v>
      </c>
      <c r="J4359" t="s">
        <v>862</v>
      </c>
      <c r="K4359" t="s">
        <v>180</v>
      </c>
      <c r="L4359">
        <v>200110823</v>
      </c>
    </row>
    <row r="4360" spans="3:12">
      <c r="C4360">
        <v>2100300025</v>
      </c>
      <c r="D4360">
        <v>6426000</v>
      </c>
      <c r="E4360" t="s">
        <v>188</v>
      </c>
      <c r="F4360">
        <v>5210010105</v>
      </c>
      <c r="G4360" s="13">
        <v>58422</v>
      </c>
      <c r="I4360" t="s">
        <v>179</v>
      </c>
      <c r="J4360" t="s">
        <v>862</v>
      </c>
      <c r="K4360" t="s">
        <v>180</v>
      </c>
      <c r="L4360">
        <v>200113106</v>
      </c>
    </row>
    <row r="4361" spans="3:12">
      <c r="C4361">
        <v>2100300025</v>
      </c>
      <c r="D4361">
        <v>6426000</v>
      </c>
      <c r="E4361" t="s">
        <v>188</v>
      </c>
      <c r="F4361">
        <v>5210010105</v>
      </c>
      <c r="G4361" s="13">
        <v>1120</v>
      </c>
      <c r="I4361" t="s">
        <v>179</v>
      </c>
      <c r="J4361" t="s">
        <v>978</v>
      </c>
      <c r="K4361" t="s">
        <v>180</v>
      </c>
      <c r="L4361">
        <v>200125305</v>
      </c>
    </row>
    <row r="4362" spans="3:12">
      <c r="C4362">
        <v>2100300025</v>
      </c>
      <c r="D4362">
        <v>6426000</v>
      </c>
      <c r="E4362" t="s">
        <v>188</v>
      </c>
      <c r="F4362">
        <v>5210010105</v>
      </c>
      <c r="G4362" s="13">
        <v>4770</v>
      </c>
      <c r="I4362" t="s">
        <v>179</v>
      </c>
      <c r="J4362" t="s">
        <v>978</v>
      </c>
      <c r="K4362" t="s">
        <v>180</v>
      </c>
      <c r="L4362">
        <v>200124879</v>
      </c>
    </row>
    <row r="4363" spans="3:12">
      <c r="C4363">
        <v>2100300025</v>
      </c>
      <c r="D4363">
        <v>6426000</v>
      </c>
      <c r="E4363" t="s">
        <v>188</v>
      </c>
      <c r="F4363">
        <v>5210010105</v>
      </c>
      <c r="G4363" s="13">
        <v>2140</v>
      </c>
      <c r="I4363" t="s">
        <v>179</v>
      </c>
      <c r="J4363" t="s">
        <v>978</v>
      </c>
      <c r="K4363" t="s">
        <v>180</v>
      </c>
      <c r="L4363">
        <v>200124880</v>
      </c>
    </row>
    <row r="4364" spans="3:12">
      <c r="C4364">
        <v>2100300025</v>
      </c>
      <c r="D4364">
        <v>6426000</v>
      </c>
      <c r="E4364" t="s">
        <v>188</v>
      </c>
      <c r="F4364">
        <v>5210010105</v>
      </c>
      <c r="G4364" s="13">
        <v>26992</v>
      </c>
      <c r="I4364" t="s">
        <v>179</v>
      </c>
      <c r="J4364" t="s">
        <v>978</v>
      </c>
      <c r="K4364" t="s">
        <v>180</v>
      </c>
      <c r="L4364">
        <v>200124586</v>
      </c>
    </row>
    <row r="4365" spans="3:12">
      <c r="C4365">
        <v>2100300025</v>
      </c>
      <c r="D4365">
        <v>6426000</v>
      </c>
      <c r="E4365" t="s">
        <v>188</v>
      </c>
      <c r="F4365">
        <v>5210010105</v>
      </c>
      <c r="G4365" s="13">
        <v>128000</v>
      </c>
      <c r="I4365" t="s">
        <v>179</v>
      </c>
      <c r="J4365" t="s">
        <v>860</v>
      </c>
      <c r="K4365" t="s">
        <v>180</v>
      </c>
      <c r="L4365">
        <v>200101709</v>
      </c>
    </row>
    <row r="4366" spans="3:12">
      <c r="C4366">
        <v>2100300025</v>
      </c>
      <c r="D4366">
        <v>6426000</v>
      </c>
      <c r="E4366" t="s">
        <v>188</v>
      </c>
      <c r="F4366">
        <v>5210010105</v>
      </c>
      <c r="G4366" s="13">
        <v>9500</v>
      </c>
      <c r="I4366" t="s">
        <v>179</v>
      </c>
      <c r="J4366" t="s">
        <v>860</v>
      </c>
      <c r="K4366" t="s">
        <v>180</v>
      </c>
      <c r="L4366">
        <v>200101704</v>
      </c>
    </row>
    <row r="4367" spans="3:12">
      <c r="C4367">
        <v>2100300025</v>
      </c>
      <c r="D4367">
        <v>6426000</v>
      </c>
      <c r="E4367" t="s">
        <v>188</v>
      </c>
      <c r="F4367">
        <v>5210010105</v>
      </c>
      <c r="G4367" s="13">
        <v>3800</v>
      </c>
      <c r="I4367" t="s">
        <v>179</v>
      </c>
      <c r="J4367" t="s">
        <v>860</v>
      </c>
      <c r="K4367" t="s">
        <v>180</v>
      </c>
      <c r="L4367">
        <v>200101705</v>
      </c>
    </row>
    <row r="4368" spans="3:12">
      <c r="C4368">
        <v>2100300025</v>
      </c>
      <c r="D4368">
        <v>6426000</v>
      </c>
      <c r="E4368" t="s">
        <v>188</v>
      </c>
      <c r="F4368">
        <v>5210010105</v>
      </c>
      <c r="G4368" s="13">
        <v>6500</v>
      </c>
      <c r="I4368" t="s">
        <v>179</v>
      </c>
      <c r="J4368" t="s">
        <v>860</v>
      </c>
      <c r="K4368" t="s">
        <v>180</v>
      </c>
      <c r="L4368">
        <v>200101706</v>
      </c>
    </row>
    <row r="4369" spans="3:12">
      <c r="C4369">
        <v>2100300025</v>
      </c>
      <c r="D4369">
        <v>6426000</v>
      </c>
      <c r="E4369" t="s">
        <v>188</v>
      </c>
      <c r="F4369">
        <v>5210010105</v>
      </c>
      <c r="G4369" s="13">
        <v>5600</v>
      </c>
      <c r="I4369" t="s">
        <v>179</v>
      </c>
      <c r="J4369" t="s">
        <v>860</v>
      </c>
      <c r="K4369" t="s">
        <v>180</v>
      </c>
      <c r="L4369">
        <v>200101707</v>
      </c>
    </row>
    <row r="4370" spans="3:12">
      <c r="C4370">
        <v>2100300025</v>
      </c>
      <c r="D4370">
        <v>6426000</v>
      </c>
      <c r="E4370" t="s">
        <v>188</v>
      </c>
      <c r="F4370">
        <v>5210010105</v>
      </c>
      <c r="G4370" s="13">
        <v>7000</v>
      </c>
      <c r="I4370" t="s">
        <v>179</v>
      </c>
      <c r="J4370" t="s">
        <v>860</v>
      </c>
      <c r="K4370" t="s">
        <v>180</v>
      </c>
      <c r="L4370">
        <v>200101708</v>
      </c>
    </row>
    <row r="4371" spans="3:12">
      <c r="C4371">
        <v>2100300025</v>
      </c>
      <c r="D4371">
        <v>6426000</v>
      </c>
      <c r="E4371" t="s">
        <v>188</v>
      </c>
      <c r="F4371">
        <v>5210010105</v>
      </c>
      <c r="G4371" s="13">
        <v>3500</v>
      </c>
      <c r="I4371" t="s">
        <v>179</v>
      </c>
      <c r="J4371" t="s">
        <v>860</v>
      </c>
      <c r="K4371" t="s">
        <v>180</v>
      </c>
      <c r="L4371">
        <v>200101710</v>
      </c>
    </row>
    <row r="4372" spans="3:12">
      <c r="C4372">
        <v>2100300025</v>
      </c>
      <c r="D4372">
        <v>6426000</v>
      </c>
      <c r="E4372" t="s">
        <v>188</v>
      </c>
      <c r="F4372">
        <v>5210010105</v>
      </c>
      <c r="G4372" s="13">
        <v>12500</v>
      </c>
      <c r="I4372" t="s">
        <v>179</v>
      </c>
      <c r="J4372" t="s">
        <v>860</v>
      </c>
      <c r="K4372" t="s">
        <v>180</v>
      </c>
      <c r="L4372">
        <v>200101711</v>
      </c>
    </row>
    <row r="4373" spans="3:12">
      <c r="C4373">
        <v>2100300025</v>
      </c>
      <c r="D4373">
        <v>6426000</v>
      </c>
      <c r="E4373" t="s">
        <v>188</v>
      </c>
      <c r="F4373">
        <v>5210010105</v>
      </c>
      <c r="G4373" s="13">
        <v>10500</v>
      </c>
      <c r="I4373" t="s">
        <v>179</v>
      </c>
      <c r="J4373" t="s">
        <v>860</v>
      </c>
      <c r="K4373" t="s">
        <v>180</v>
      </c>
      <c r="L4373">
        <v>200101712</v>
      </c>
    </row>
    <row r="4374" spans="3:12">
      <c r="C4374">
        <v>2100300025</v>
      </c>
      <c r="D4374">
        <v>6426000</v>
      </c>
      <c r="E4374" t="s">
        <v>188</v>
      </c>
      <c r="F4374">
        <v>5210010105</v>
      </c>
      <c r="G4374" s="13">
        <v>7500</v>
      </c>
      <c r="I4374" t="s">
        <v>179</v>
      </c>
      <c r="J4374" t="s">
        <v>860</v>
      </c>
      <c r="K4374" t="s">
        <v>180</v>
      </c>
      <c r="L4374">
        <v>200101713</v>
      </c>
    </row>
    <row r="4375" spans="3:12">
      <c r="C4375">
        <v>2100300025</v>
      </c>
      <c r="D4375">
        <v>6426000</v>
      </c>
      <c r="E4375" t="s">
        <v>188</v>
      </c>
      <c r="F4375">
        <v>5210010105</v>
      </c>
      <c r="G4375" s="13">
        <v>5000</v>
      </c>
      <c r="I4375" t="s">
        <v>179</v>
      </c>
      <c r="J4375" t="s">
        <v>860</v>
      </c>
      <c r="K4375" t="s">
        <v>180</v>
      </c>
      <c r="L4375">
        <v>200101714</v>
      </c>
    </row>
    <row r="4376" spans="3:12">
      <c r="C4376">
        <v>2100300025</v>
      </c>
      <c r="D4376">
        <v>6426000</v>
      </c>
      <c r="E4376" t="s">
        <v>188</v>
      </c>
      <c r="F4376">
        <v>5210010105</v>
      </c>
      <c r="G4376" s="13">
        <v>2300</v>
      </c>
      <c r="I4376" t="s">
        <v>179</v>
      </c>
      <c r="J4376" t="s">
        <v>860</v>
      </c>
      <c r="K4376" t="s">
        <v>180</v>
      </c>
      <c r="L4376">
        <v>200101715</v>
      </c>
    </row>
    <row r="4377" spans="3:12">
      <c r="C4377">
        <v>2100300025</v>
      </c>
      <c r="D4377">
        <v>6426000</v>
      </c>
      <c r="E4377" t="s">
        <v>188</v>
      </c>
      <c r="F4377">
        <v>5210010105</v>
      </c>
      <c r="G4377" s="13">
        <v>4000</v>
      </c>
      <c r="I4377" t="s">
        <v>179</v>
      </c>
      <c r="J4377" t="s">
        <v>860</v>
      </c>
      <c r="K4377" t="s">
        <v>180</v>
      </c>
      <c r="L4377">
        <v>200101716</v>
      </c>
    </row>
    <row r="4378" spans="3:12">
      <c r="C4378">
        <v>2100300025</v>
      </c>
      <c r="D4378">
        <v>6426000</v>
      </c>
      <c r="E4378" t="s">
        <v>188</v>
      </c>
      <c r="F4378">
        <v>5210010105</v>
      </c>
      <c r="G4378" s="13">
        <v>2850</v>
      </c>
      <c r="I4378" t="s">
        <v>179</v>
      </c>
      <c r="J4378" t="s">
        <v>969</v>
      </c>
      <c r="K4378" t="s">
        <v>180</v>
      </c>
      <c r="L4378">
        <v>200107084</v>
      </c>
    </row>
    <row r="4379" spans="3:12">
      <c r="C4379">
        <v>2100300025</v>
      </c>
      <c r="D4379">
        <v>6426000</v>
      </c>
      <c r="E4379" t="s">
        <v>188</v>
      </c>
      <c r="F4379">
        <v>5210010105</v>
      </c>
      <c r="G4379" s="13">
        <v>14750</v>
      </c>
      <c r="I4379" t="s">
        <v>179</v>
      </c>
      <c r="J4379" t="s">
        <v>969</v>
      </c>
      <c r="K4379" t="s">
        <v>180</v>
      </c>
      <c r="L4379">
        <v>200106988</v>
      </c>
    </row>
    <row r="4380" spans="3:12">
      <c r="C4380">
        <v>2100300025</v>
      </c>
      <c r="D4380">
        <v>6426000</v>
      </c>
      <c r="E4380" t="s">
        <v>188</v>
      </c>
      <c r="F4380">
        <v>5210010105</v>
      </c>
      <c r="G4380" s="13">
        <v>120000</v>
      </c>
      <c r="I4380" t="s">
        <v>179</v>
      </c>
      <c r="J4380" t="s">
        <v>969</v>
      </c>
      <c r="K4380" t="s">
        <v>180</v>
      </c>
      <c r="L4380">
        <v>200088062</v>
      </c>
    </row>
    <row r="4381" spans="3:12">
      <c r="C4381">
        <v>2100300025</v>
      </c>
      <c r="D4381">
        <v>6426000</v>
      </c>
      <c r="E4381" t="s">
        <v>188</v>
      </c>
      <c r="F4381">
        <v>5210010105</v>
      </c>
      <c r="G4381" s="13">
        <v>379099.93</v>
      </c>
      <c r="I4381" t="s">
        <v>179</v>
      </c>
      <c r="J4381" t="s">
        <v>969</v>
      </c>
      <c r="K4381" t="s">
        <v>180</v>
      </c>
      <c r="L4381">
        <v>200107087</v>
      </c>
    </row>
    <row r="4382" spans="3:12">
      <c r="C4382">
        <v>2100300025</v>
      </c>
      <c r="D4382">
        <v>6426000</v>
      </c>
      <c r="E4382" t="s">
        <v>188</v>
      </c>
      <c r="F4382">
        <v>5210010105</v>
      </c>
      <c r="G4382" s="13">
        <v>133250</v>
      </c>
      <c r="I4382" t="s">
        <v>179</v>
      </c>
      <c r="J4382" t="s">
        <v>969</v>
      </c>
      <c r="K4382" t="s">
        <v>180</v>
      </c>
      <c r="L4382">
        <v>200107088</v>
      </c>
    </row>
    <row r="4383" spans="3:12">
      <c r="C4383">
        <v>2100300025</v>
      </c>
      <c r="D4383">
        <v>6426000</v>
      </c>
      <c r="E4383" t="s">
        <v>188</v>
      </c>
      <c r="F4383">
        <v>5210010105</v>
      </c>
      <c r="G4383" s="13">
        <v>5600</v>
      </c>
      <c r="I4383" t="s">
        <v>179</v>
      </c>
      <c r="J4383" t="s">
        <v>970</v>
      </c>
      <c r="K4383" t="s">
        <v>180</v>
      </c>
      <c r="L4383">
        <v>200102378</v>
      </c>
    </row>
    <row r="4384" spans="3:12">
      <c r="C4384">
        <v>2100300025</v>
      </c>
      <c r="D4384">
        <v>6426000</v>
      </c>
      <c r="E4384" t="s">
        <v>188</v>
      </c>
      <c r="F4384">
        <v>5210010105</v>
      </c>
      <c r="G4384" s="13">
        <v>11984</v>
      </c>
      <c r="I4384" t="s">
        <v>179</v>
      </c>
      <c r="J4384" t="s">
        <v>970</v>
      </c>
      <c r="K4384" t="s">
        <v>180</v>
      </c>
      <c r="L4384">
        <v>200106510</v>
      </c>
    </row>
    <row r="4385" spans="3:12">
      <c r="C4385">
        <v>2100300025</v>
      </c>
      <c r="D4385">
        <v>6426000</v>
      </c>
      <c r="E4385" t="s">
        <v>188</v>
      </c>
      <c r="F4385">
        <v>5210010105</v>
      </c>
      <c r="G4385" s="13">
        <v>56000</v>
      </c>
      <c r="I4385" t="s">
        <v>179</v>
      </c>
      <c r="J4385" t="s">
        <v>970</v>
      </c>
      <c r="K4385" t="s">
        <v>180</v>
      </c>
      <c r="L4385">
        <v>200105561</v>
      </c>
    </row>
    <row r="4386" spans="3:12">
      <c r="C4386">
        <v>2100300025</v>
      </c>
      <c r="D4386">
        <v>6426000</v>
      </c>
      <c r="E4386" t="s">
        <v>188</v>
      </c>
      <c r="F4386">
        <v>5210010105</v>
      </c>
      <c r="G4386" s="13">
        <v>26451.61</v>
      </c>
      <c r="I4386" t="s">
        <v>179</v>
      </c>
      <c r="J4386" t="s">
        <v>970</v>
      </c>
      <c r="K4386" t="s">
        <v>180</v>
      </c>
      <c r="L4386">
        <v>200106508</v>
      </c>
    </row>
    <row r="4387" spans="3:12">
      <c r="C4387">
        <v>2100300025</v>
      </c>
      <c r="D4387">
        <v>6426000</v>
      </c>
      <c r="E4387" t="s">
        <v>188</v>
      </c>
      <c r="F4387">
        <v>5210010105</v>
      </c>
      <c r="G4387" s="13">
        <v>5250</v>
      </c>
      <c r="I4387" t="s">
        <v>179</v>
      </c>
      <c r="J4387" t="s">
        <v>970</v>
      </c>
      <c r="K4387" t="s">
        <v>180</v>
      </c>
      <c r="L4387">
        <v>200058510</v>
      </c>
    </row>
    <row r="4388" spans="3:12">
      <c r="C4388">
        <v>2100300025</v>
      </c>
      <c r="D4388">
        <v>6426000</v>
      </c>
      <c r="E4388" t="s">
        <v>188</v>
      </c>
      <c r="F4388">
        <v>5210010105</v>
      </c>
      <c r="G4388" s="13">
        <v>96300</v>
      </c>
      <c r="I4388" t="s">
        <v>179</v>
      </c>
      <c r="J4388" t="s">
        <v>971</v>
      </c>
      <c r="K4388" t="s">
        <v>180</v>
      </c>
      <c r="L4388">
        <v>200105810</v>
      </c>
    </row>
    <row r="4389" spans="3:12">
      <c r="C4389">
        <v>2100300025</v>
      </c>
      <c r="D4389">
        <v>6426000</v>
      </c>
      <c r="E4389" t="s">
        <v>188</v>
      </c>
      <c r="F4389">
        <v>5210010105</v>
      </c>
      <c r="G4389" s="13">
        <v>74900</v>
      </c>
      <c r="I4389" t="s">
        <v>179</v>
      </c>
      <c r="J4389" t="s">
        <v>971</v>
      </c>
      <c r="K4389" t="s">
        <v>180</v>
      </c>
      <c r="L4389">
        <v>200105811</v>
      </c>
    </row>
    <row r="4390" spans="3:12">
      <c r="C4390">
        <v>2100300025</v>
      </c>
      <c r="D4390">
        <v>6426000</v>
      </c>
      <c r="E4390" t="s">
        <v>188</v>
      </c>
      <c r="F4390">
        <v>5210010105</v>
      </c>
      <c r="G4390" s="13">
        <v>200625</v>
      </c>
      <c r="I4390" t="s">
        <v>179</v>
      </c>
      <c r="J4390" t="s">
        <v>971</v>
      </c>
      <c r="K4390" t="s">
        <v>180</v>
      </c>
      <c r="L4390">
        <v>200104979</v>
      </c>
    </row>
    <row r="4391" spans="3:12">
      <c r="C4391">
        <v>2100300025</v>
      </c>
      <c r="D4391">
        <v>6426000</v>
      </c>
      <c r="E4391" t="s">
        <v>188</v>
      </c>
      <c r="F4391">
        <v>5210010105</v>
      </c>
      <c r="G4391" s="13">
        <v>151940</v>
      </c>
      <c r="I4391" t="s">
        <v>179</v>
      </c>
      <c r="J4391" t="s">
        <v>971</v>
      </c>
      <c r="K4391" t="s">
        <v>180</v>
      </c>
      <c r="L4391">
        <v>200104380</v>
      </c>
    </row>
    <row r="4392" spans="3:12">
      <c r="C4392">
        <v>2100300025</v>
      </c>
      <c r="D4392">
        <v>6426000</v>
      </c>
      <c r="E4392" t="s">
        <v>188</v>
      </c>
      <c r="F4392">
        <v>5210010105</v>
      </c>
      <c r="G4392" s="13">
        <v>91003.5</v>
      </c>
      <c r="I4392" t="s">
        <v>179</v>
      </c>
      <c r="J4392" t="s">
        <v>971</v>
      </c>
      <c r="K4392" t="s">
        <v>180</v>
      </c>
      <c r="L4392">
        <v>200105812</v>
      </c>
    </row>
    <row r="4393" spans="3:12">
      <c r="C4393">
        <v>2100300025</v>
      </c>
      <c r="D4393">
        <v>6426000</v>
      </c>
      <c r="E4393" t="s">
        <v>188</v>
      </c>
      <c r="F4393">
        <v>5210010105</v>
      </c>
      <c r="G4393" s="13">
        <v>115132</v>
      </c>
      <c r="I4393" t="s">
        <v>179</v>
      </c>
      <c r="J4393" t="s">
        <v>858</v>
      </c>
      <c r="K4393" t="s">
        <v>180</v>
      </c>
      <c r="L4393">
        <v>200110280</v>
      </c>
    </row>
    <row r="4394" spans="3:12">
      <c r="C4394">
        <v>2100300025</v>
      </c>
      <c r="D4394">
        <v>6426000</v>
      </c>
      <c r="E4394" t="s">
        <v>188</v>
      </c>
      <c r="F4394">
        <v>5210010105</v>
      </c>
      <c r="G4394" s="13">
        <v>10400</v>
      </c>
      <c r="I4394" t="s">
        <v>179</v>
      </c>
      <c r="J4394" t="s">
        <v>858</v>
      </c>
      <c r="K4394" t="s">
        <v>180</v>
      </c>
      <c r="L4394">
        <v>200110284</v>
      </c>
    </row>
    <row r="4395" spans="3:12">
      <c r="C4395">
        <v>2100300025</v>
      </c>
      <c r="D4395">
        <v>6426000</v>
      </c>
      <c r="E4395" t="s">
        <v>188</v>
      </c>
      <c r="F4395">
        <v>5210010105</v>
      </c>
      <c r="G4395" s="13">
        <v>4750</v>
      </c>
      <c r="I4395" t="s">
        <v>179</v>
      </c>
      <c r="J4395" t="s">
        <v>859</v>
      </c>
      <c r="K4395" t="s">
        <v>180</v>
      </c>
      <c r="L4395">
        <v>200101368</v>
      </c>
    </row>
    <row r="4396" spans="3:12">
      <c r="C4396">
        <v>2100300025</v>
      </c>
      <c r="D4396">
        <v>6426000</v>
      </c>
      <c r="E4396" t="s">
        <v>188</v>
      </c>
      <c r="F4396">
        <v>5210010105</v>
      </c>
      <c r="G4396" s="13">
        <v>2375.4</v>
      </c>
      <c r="I4396" t="s">
        <v>179</v>
      </c>
      <c r="J4396" t="s">
        <v>859</v>
      </c>
      <c r="K4396" t="s">
        <v>180</v>
      </c>
      <c r="L4396">
        <v>200074998</v>
      </c>
    </row>
    <row r="4397" spans="3:12">
      <c r="C4397">
        <v>2100300025</v>
      </c>
      <c r="D4397">
        <v>6426000</v>
      </c>
      <c r="E4397" t="s">
        <v>188</v>
      </c>
      <c r="F4397">
        <v>5210010105</v>
      </c>
      <c r="G4397" s="13">
        <v>3680</v>
      </c>
      <c r="I4397" t="s">
        <v>179</v>
      </c>
      <c r="J4397" t="s">
        <v>859</v>
      </c>
      <c r="K4397" t="s">
        <v>180</v>
      </c>
      <c r="L4397">
        <v>200074999</v>
      </c>
    </row>
    <row r="4398" spans="3:12">
      <c r="C4398">
        <v>2100300025</v>
      </c>
      <c r="D4398">
        <v>6426000</v>
      </c>
      <c r="E4398" t="s">
        <v>188</v>
      </c>
      <c r="F4398">
        <v>5210010105</v>
      </c>
      <c r="G4398" s="13">
        <v>2270</v>
      </c>
      <c r="I4398" t="s">
        <v>179</v>
      </c>
      <c r="J4398" t="s">
        <v>859</v>
      </c>
      <c r="K4398" t="s">
        <v>180</v>
      </c>
      <c r="L4398">
        <v>200100956</v>
      </c>
    </row>
    <row r="4399" spans="3:12">
      <c r="C4399">
        <v>2100300025</v>
      </c>
      <c r="D4399">
        <v>6426000</v>
      </c>
      <c r="E4399" t="s">
        <v>188</v>
      </c>
      <c r="F4399">
        <v>5210010105</v>
      </c>
      <c r="G4399" s="13">
        <v>4269.3</v>
      </c>
      <c r="I4399" t="s">
        <v>179</v>
      </c>
      <c r="J4399" t="s">
        <v>859</v>
      </c>
      <c r="K4399" t="s">
        <v>180</v>
      </c>
      <c r="L4399">
        <v>200101369</v>
      </c>
    </row>
    <row r="4400" spans="3:12">
      <c r="C4400">
        <v>2100300025</v>
      </c>
      <c r="D4400">
        <v>6426000</v>
      </c>
      <c r="E4400" t="s">
        <v>188</v>
      </c>
      <c r="F4400">
        <v>5210010105</v>
      </c>
      <c r="G4400" s="13">
        <v>3000</v>
      </c>
      <c r="I4400" t="s">
        <v>179</v>
      </c>
      <c r="J4400" t="s">
        <v>859</v>
      </c>
      <c r="K4400" t="s">
        <v>180</v>
      </c>
      <c r="L4400">
        <v>200101370</v>
      </c>
    </row>
    <row r="4401" spans="3:12">
      <c r="C4401">
        <v>2100300025</v>
      </c>
      <c r="D4401">
        <v>6426000</v>
      </c>
      <c r="E4401" t="s">
        <v>188</v>
      </c>
      <c r="F4401">
        <v>5210010105</v>
      </c>
      <c r="G4401" s="13">
        <v>21805.9</v>
      </c>
      <c r="I4401" t="s">
        <v>179</v>
      </c>
      <c r="J4401" t="s">
        <v>859</v>
      </c>
      <c r="K4401" t="s">
        <v>180</v>
      </c>
      <c r="L4401">
        <v>200091197</v>
      </c>
    </row>
    <row r="4402" spans="3:12">
      <c r="C4402">
        <v>2100300025</v>
      </c>
      <c r="D4402">
        <v>6426000</v>
      </c>
      <c r="E4402" t="s">
        <v>188</v>
      </c>
      <c r="F4402">
        <v>5210010105</v>
      </c>
      <c r="G4402" s="13">
        <v>223951</v>
      </c>
      <c r="I4402" t="s">
        <v>179</v>
      </c>
      <c r="J4402" t="s">
        <v>972</v>
      </c>
      <c r="K4402" t="s">
        <v>180</v>
      </c>
      <c r="L4402">
        <v>200102799</v>
      </c>
    </row>
    <row r="4403" spans="3:12">
      <c r="C4403">
        <v>2100300025</v>
      </c>
      <c r="D4403">
        <v>6426000</v>
      </c>
      <c r="E4403" t="s">
        <v>188</v>
      </c>
      <c r="F4403">
        <v>5210010105</v>
      </c>
      <c r="G4403" s="13">
        <v>190460</v>
      </c>
      <c r="I4403" t="s">
        <v>179</v>
      </c>
      <c r="J4403" t="s">
        <v>972</v>
      </c>
      <c r="K4403" t="s">
        <v>180</v>
      </c>
      <c r="L4403">
        <v>200102810</v>
      </c>
    </row>
    <row r="4404" spans="3:12">
      <c r="C4404">
        <v>2100300025</v>
      </c>
      <c r="D4404">
        <v>6426000</v>
      </c>
      <c r="E4404" t="s">
        <v>188</v>
      </c>
      <c r="F4404">
        <v>5210010105</v>
      </c>
      <c r="G4404" s="13">
        <v>120000</v>
      </c>
      <c r="I4404" t="s">
        <v>179</v>
      </c>
      <c r="J4404" t="s">
        <v>973</v>
      </c>
      <c r="K4404" t="s">
        <v>180</v>
      </c>
      <c r="L4404">
        <v>200110256</v>
      </c>
    </row>
    <row r="4405" spans="3:12">
      <c r="C4405">
        <v>2100300025</v>
      </c>
      <c r="D4405">
        <v>6426000</v>
      </c>
      <c r="E4405" t="s">
        <v>188</v>
      </c>
      <c r="F4405">
        <v>5210010105</v>
      </c>
      <c r="G4405" s="13">
        <v>8800</v>
      </c>
      <c r="I4405" t="s">
        <v>179</v>
      </c>
      <c r="J4405" t="s">
        <v>973</v>
      </c>
      <c r="K4405" t="s">
        <v>180</v>
      </c>
      <c r="L4405">
        <v>200109848</v>
      </c>
    </row>
    <row r="4406" spans="3:12">
      <c r="C4406">
        <v>2100300025</v>
      </c>
      <c r="D4406">
        <v>6426000</v>
      </c>
      <c r="E4406" t="s">
        <v>188</v>
      </c>
      <c r="F4406">
        <v>5210010105</v>
      </c>
      <c r="G4406" s="13">
        <v>8306</v>
      </c>
      <c r="I4406" t="s">
        <v>179</v>
      </c>
      <c r="J4406" t="s">
        <v>973</v>
      </c>
      <c r="K4406" t="s">
        <v>180</v>
      </c>
      <c r="L4406">
        <v>200110318</v>
      </c>
    </row>
    <row r="4407" spans="3:12">
      <c r="C4407">
        <v>2100300025</v>
      </c>
      <c r="D4407">
        <v>6426000</v>
      </c>
      <c r="E4407" t="s">
        <v>188</v>
      </c>
      <c r="F4407">
        <v>5210010105</v>
      </c>
      <c r="G4407" s="13">
        <v>23326</v>
      </c>
      <c r="I4407" t="s">
        <v>179</v>
      </c>
      <c r="J4407" t="s">
        <v>973</v>
      </c>
      <c r="K4407" t="s">
        <v>180</v>
      </c>
      <c r="L4407">
        <v>200110319</v>
      </c>
    </row>
    <row r="4408" spans="3:12">
      <c r="C4408">
        <v>2100300025</v>
      </c>
      <c r="D4408">
        <v>6426000</v>
      </c>
      <c r="E4408" t="s">
        <v>188</v>
      </c>
      <c r="F4408">
        <v>5210010105</v>
      </c>
      <c r="G4408" s="13">
        <v>115200</v>
      </c>
      <c r="I4408" t="s">
        <v>179</v>
      </c>
      <c r="J4408" t="s">
        <v>973</v>
      </c>
      <c r="K4408" t="s">
        <v>180</v>
      </c>
      <c r="L4408">
        <v>200110320</v>
      </c>
    </row>
    <row r="4409" spans="3:12">
      <c r="C4409">
        <v>2100300025</v>
      </c>
      <c r="D4409">
        <v>6426000</v>
      </c>
      <c r="E4409" t="s">
        <v>188</v>
      </c>
      <c r="F4409">
        <v>5210010105</v>
      </c>
      <c r="G4409" s="13">
        <v>13000</v>
      </c>
      <c r="I4409" t="s">
        <v>179</v>
      </c>
      <c r="J4409" t="s">
        <v>973</v>
      </c>
      <c r="K4409" t="s">
        <v>180</v>
      </c>
      <c r="L4409">
        <v>200110701</v>
      </c>
    </row>
    <row r="4410" spans="3:12">
      <c r="C4410">
        <v>2100300025</v>
      </c>
      <c r="D4410">
        <v>6426000</v>
      </c>
      <c r="E4410" t="s">
        <v>188</v>
      </c>
      <c r="F4410">
        <v>5210010105</v>
      </c>
      <c r="G4410" s="13">
        <v>13470</v>
      </c>
      <c r="I4410" t="s">
        <v>179</v>
      </c>
      <c r="J4410" t="s">
        <v>860</v>
      </c>
      <c r="K4410" t="s">
        <v>180</v>
      </c>
      <c r="L4410">
        <v>200101234</v>
      </c>
    </row>
    <row r="4411" spans="3:12">
      <c r="C4411">
        <v>2100300025</v>
      </c>
      <c r="D4411">
        <v>6426000</v>
      </c>
      <c r="E4411" t="s">
        <v>188</v>
      </c>
      <c r="F4411">
        <v>5210010105</v>
      </c>
      <c r="G4411" s="13">
        <v>11200</v>
      </c>
      <c r="I4411" t="s">
        <v>179</v>
      </c>
      <c r="J4411" t="s">
        <v>860</v>
      </c>
      <c r="K4411" t="s">
        <v>180</v>
      </c>
      <c r="L4411">
        <v>200101438</v>
      </c>
    </row>
    <row r="4412" spans="3:12">
      <c r="C4412">
        <v>2100300025</v>
      </c>
      <c r="D4412">
        <v>6426000</v>
      </c>
      <c r="E4412" t="s">
        <v>188</v>
      </c>
      <c r="F4412">
        <v>5210010105</v>
      </c>
      <c r="G4412" s="13">
        <v>10800</v>
      </c>
      <c r="I4412" t="s">
        <v>179</v>
      </c>
      <c r="J4412" t="s">
        <v>860</v>
      </c>
      <c r="K4412" t="s">
        <v>180</v>
      </c>
      <c r="L4412">
        <v>200101439</v>
      </c>
    </row>
    <row r="4413" spans="3:12">
      <c r="C4413">
        <v>2100300025</v>
      </c>
      <c r="D4413">
        <v>6426000</v>
      </c>
      <c r="E4413" t="s">
        <v>188</v>
      </c>
      <c r="F4413">
        <v>5210010105</v>
      </c>
      <c r="G4413" s="13">
        <v>2247</v>
      </c>
      <c r="I4413" t="s">
        <v>179</v>
      </c>
      <c r="J4413" t="s">
        <v>860</v>
      </c>
      <c r="K4413" t="s">
        <v>180</v>
      </c>
      <c r="L4413">
        <v>200101222</v>
      </c>
    </row>
    <row r="4414" spans="3:12">
      <c r="C4414">
        <v>2100300025</v>
      </c>
      <c r="D4414">
        <v>6426000</v>
      </c>
      <c r="E4414" t="s">
        <v>188</v>
      </c>
      <c r="F4414">
        <v>5210010105</v>
      </c>
      <c r="G4414" s="13">
        <v>6848</v>
      </c>
      <c r="I4414" t="s">
        <v>179</v>
      </c>
      <c r="J4414" t="s">
        <v>860</v>
      </c>
      <c r="K4414" t="s">
        <v>180</v>
      </c>
      <c r="L4414">
        <v>200101223</v>
      </c>
    </row>
    <row r="4415" spans="3:12">
      <c r="C4415">
        <v>2100300025</v>
      </c>
      <c r="D4415">
        <v>6426000</v>
      </c>
      <c r="E4415" t="s">
        <v>188</v>
      </c>
      <c r="F4415">
        <v>5210010105</v>
      </c>
      <c r="G4415" s="13">
        <v>60990</v>
      </c>
      <c r="I4415" t="s">
        <v>179</v>
      </c>
      <c r="J4415" t="s">
        <v>860</v>
      </c>
      <c r="K4415" t="s">
        <v>180</v>
      </c>
      <c r="L4415">
        <v>200096691</v>
      </c>
    </row>
    <row r="4416" spans="3:12">
      <c r="C4416">
        <v>2100300025</v>
      </c>
      <c r="D4416">
        <v>6426000</v>
      </c>
      <c r="E4416" t="s">
        <v>188</v>
      </c>
      <c r="F4416">
        <v>5210010105</v>
      </c>
      <c r="G4416" s="13">
        <v>50825</v>
      </c>
      <c r="I4416" t="s">
        <v>179</v>
      </c>
      <c r="J4416" t="s">
        <v>860</v>
      </c>
      <c r="K4416" t="s">
        <v>180</v>
      </c>
      <c r="L4416">
        <v>200100381</v>
      </c>
    </row>
    <row r="4417" spans="3:12">
      <c r="C4417">
        <v>2100300025</v>
      </c>
      <c r="D4417">
        <v>6426000</v>
      </c>
      <c r="E4417" t="s">
        <v>188</v>
      </c>
      <c r="F4417">
        <v>5210010105</v>
      </c>
      <c r="G4417" s="13">
        <v>4280</v>
      </c>
      <c r="I4417" t="s">
        <v>179</v>
      </c>
      <c r="J4417" t="s">
        <v>860</v>
      </c>
      <c r="K4417" t="s">
        <v>180</v>
      </c>
      <c r="L4417">
        <v>200100382</v>
      </c>
    </row>
    <row r="4418" spans="3:12">
      <c r="C4418">
        <v>2100300025</v>
      </c>
      <c r="D4418">
        <v>6426000</v>
      </c>
      <c r="E4418" t="s">
        <v>188</v>
      </c>
      <c r="F4418">
        <v>5210010105</v>
      </c>
      <c r="G4418">
        <v>190</v>
      </c>
      <c r="I4418" t="s">
        <v>179</v>
      </c>
      <c r="J4418" t="s">
        <v>860</v>
      </c>
      <c r="K4418" t="s">
        <v>180</v>
      </c>
      <c r="L4418">
        <v>200100383</v>
      </c>
    </row>
    <row r="4419" spans="3:12">
      <c r="C4419">
        <v>2100300025</v>
      </c>
      <c r="D4419">
        <v>6426000</v>
      </c>
      <c r="E4419" t="s">
        <v>188</v>
      </c>
      <c r="F4419">
        <v>5210010105</v>
      </c>
      <c r="G4419">
        <v>500</v>
      </c>
      <c r="I4419" t="s">
        <v>179</v>
      </c>
      <c r="J4419" t="s">
        <v>860</v>
      </c>
      <c r="K4419" t="s">
        <v>180</v>
      </c>
      <c r="L4419">
        <v>200100384</v>
      </c>
    </row>
    <row r="4420" spans="3:12">
      <c r="C4420">
        <v>2100300025</v>
      </c>
      <c r="D4420">
        <v>6426000</v>
      </c>
      <c r="E4420" t="s">
        <v>188</v>
      </c>
      <c r="F4420">
        <v>5210010105</v>
      </c>
      <c r="G4420" s="13">
        <v>9000</v>
      </c>
      <c r="I4420" t="s">
        <v>179</v>
      </c>
      <c r="J4420" t="s">
        <v>860</v>
      </c>
      <c r="K4420" t="s">
        <v>180</v>
      </c>
      <c r="L4420">
        <v>200100385</v>
      </c>
    </row>
    <row r="4421" spans="3:12">
      <c r="C4421">
        <v>2100300025</v>
      </c>
      <c r="D4421">
        <v>6426000</v>
      </c>
      <c r="E4421" t="s">
        <v>188</v>
      </c>
      <c r="F4421">
        <v>5210010105</v>
      </c>
      <c r="G4421" s="13">
        <v>12000</v>
      </c>
      <c r="I4421" t="s">
        <v>179</v>
      </c>
      <c r="J4421" t="s">
        <v>860</v>
      </c>
      <c r="K4421" t="s">
        <v>180</v>
      </c>
      <c r="L4421">
        <v>200100386</v>
      </c>
    </row>
    <row r="4422" spans="3:12">
      <c r="C4422">
        <v>2100300025</v>
      </c>
      <c r="D4422">
        <v>6426000</v>
      </c>
      <c r="E4422" t="s">
        <v>188</v>
      </c>
      <c r="F4422">
        <v>5210010105</v>
      </c>
      <c r="G4422" s="13">
        <v>5240</v>
      </c>
      <c r="I4422" t="s">
        <v>179</v>
      </c>
      <c r="J4422" t="s">
        <v>860</v>
      </c>
      <c r="K4422" t="s">
        <v>180</v>
      </c>
      <c r="L4422">
        <v>200091976</v>
      </c>
    </row>
    <row r="4423" spans="3:12">
      <c r="C4423">
        <v>2100300025</v>
      </c>
      <c r="D4423">
        <v>6426000</v>
      </c>
      <c r="E4423" t="s">
        <v>188</v>
      </c>
      <c r="F4423">
        <v>5210010105</v>
      </c>
      <c r="G4423" s="13">
        <v>349480</v>
      </c>
      <c r="I4423" t="s">
        <v>179</v>
      </c>
      <c r="J4423" t="s">
        <v>860</v>
      </c>
      <c r="K4423" t="s">
        <v>180</v>
      </c>
      <c r="L4423">
        <v>200100389</v>
      </c>
    </row>
    <row r="4424" spans="3:12">
      <c r="C4424">
        <v>2100300025</v>
      </c>
      <c r="D4424">
        <v>6426000</v>
      </c>
      <c r="E4424" t="s">
        <v>188</v>
      </c>
      <c r="F4424">
        <v>5210010105</v>
      </c>
      <c r="G4424" s="13">
        <v>385900</v>
      </c>
      <c r="I4424" t="s">
        <v>179</v>
      </c>
      <c r="J4424" t="s">
        <v>860</v>
      </c>
      <c r="K4424" t="s">
        <v>180</v>
      </c>
      <c r="L4424">
        <v>200091977</v>
      </c>
    </row>
    <row r="4425" spans="3:12">
      <c r="C4425">
        <v>2100300025</v>
      </c>
      <c r="D4425">
        <v>6426000</v>
      </c>
      <c r="E4425" t="s">
        <v>188</v>
      </c>
      <c r="F4425">
        <v>5210010105</v>
      </c>
      <c r="G4425" s="13">
        <v>13000</v>
      </c>
      <c r="I4425" t="s">
        <v>179</v>
      </c>
      <c r="J4425" t="s">
        <v>860</v>
      </c>
      <c r="K4425" t="s">
        <v>180</v>
      </c>
      <c r="L4425">
        <v>200100393</v>
      </c>
    </row>
    <row r="4426" spans="3:12">
      <c r="C4426">
        <v>2100300025</v>
      </c>
      <c r="D4426">
        <v>6426000</v>
      </c>
      <c r="E4426" t="s">
        <v>188</v>
      </c>
      <c r="F4426">
        <v>5210010105</v>
      </c>
      <c r="G4426" s="13">
        <v>21000</v>
      </c>
      <c r="I4426" t="s">
        <v>179</v>
      </c>
      <c r="J4426" t="s">
        <v>860</v>
      </c>
      <c r="K4426" t="s">
        <v>180</v>
      </c>
      <c r="L4426">
        <v>200100394</v>
      </c>
    </row>
    <row r="4427" spans="3:12">
      <c r="C4427">
        <v>2100300025</v>
      </c>
      <c r="D4427">
        <v>6426000</v>
      </c>
      <c r="E4427" t="s">
        <v>188</v>
      </c>
      <c r="F4427">
        <v>5210010105</v>
      </c>
      <c r="G4427" s="13">
        <v>15900</v>
      </c>
      <c r="I4427" t="s">
        <v>179</v>
      </c>
      <c r="J4427" t="s">
        <v>860</v>
      </c>
      <c r="K4427" t="s">
        <v>180</v>
      </c>
      <c r="L4427">
        <v>200100395</v>
      </c>
    </row>
    <row r="4428" spans="3:12">
      <c r="C4428">
        <v>2100300025</v>
      </c>
      <c r="D4428">
        <v>6426000</v>
      </c>
      <c r="E4428" t="s">
        <v>188</v>
      </c>
      <c r="F4428">
        <v>5210010105</v>
      </c>
      <c r="G4428" s="13">
        <v>16500</v>
      </c>
      <c r="I4428" t="s">
        <v>179</v>
      </c>
      <c r="J4428" t="s">
        <v>860</v>
      </c>
      <c r="K4428" t="s">
        <v>180</v>
      </c>
      <c r="L4428">
        <v>200100396</v>
      </c>
    </row>
    <row r="4429" spans="3:12">
      <c r="C4429">
        <v>2100300025</v>
      </c>
      <c r="D4429">
        <v>6426000</v>
      </c>
      <c r="E4429" t="s">
        <v>188</v>
      </c>
      <c r="F4429">
        <v>5210010105</v>
      </c>
      <c r="G4429" s="13">
        <v>12900</v>
      </c>
      <c r="I4429" t="s">
        <v>179</v>
      </c>
      <c r="J4429" t="s">
        <v>860</v>
      </c>
      <c r="K4429" t="s">
        <v>180</v>
      </c>
      <c r="L4429">
        <v>200100397</v>
      </c>
    </row>
    <row r="4430" spans="3:12">
      <c r="C4430">
        <v>2100300025</v>
      </c>
      <c r="D4430">
        <v>6426000</v>
      </c>
      <c r="E4430" t="s">
        <v>188</v>
      </c>
      <c r="F4430">
        <v>5210010105</v>
      </c>
      <c r="G4430" s="13">
        <v>4700</v>
      </c>
      <c r="I4430" t="s">
        <v>179</v>
      </c>
      <c r="J4430" t="s">
        <v>860</v>
      </c>
      <c r="K4430" t="s">
        <v>180</v>
      </c>
      <c r="L4430">
        <v>200100398</v>
      </c>
    </row>
    <row r="4431" spans="3:12">
      <c r="C4431">
        <v>2100300025</v>
      </c>
      <c r="D4431">
        <v>6426000</v>
      </c>
      <c r="E4431" t="s">
        <v>188</v>
      </c>
      <c r="F4431">
        <v>5210010105</v>
      </c>
      <c r="G4431" s="13">
        <v>10000</v>
      </c>
      <c r="I4431" t="s">
        <v>179</v>
      </c>
      <c r="J4431" t="s">
        <v>860</v>
      </c>
      <c r="K4431" t="s">
        <v>180</v>
      </c>
      <c r="L4431">
        <v>200100399</v>
      </c>
    </row>
    <row r="4432" spans="3:12">
      <c r="C4432">
        <v>2100300025</v>
      </c>
      <c r="D4432">
        <v>6426000</v>
      </c>
      <c r="E4432" t="s">
        <v>188</v>
      </c>
      <c r="F4432">
        <v>5210010105</v>
      </c>
      <c r="G4432" s="13">
        <v>25200</v>
      </c>
      <c r="I4432" t="s">
        <v>179</v>
      </c>
      <c r="J4432" t="s">
        <v>860</v>
      </c>
      <c r="K4432" t="s">
        <v>180</v>
      </c>
      <c r="L4432">
        <v>200100400</v>
      </c>
    </row>
    <row r="4433" spans="3:12">
      <c r="C4433">
        <v>2100300025</v>
      </c>
      <c r="D4433">
        <v>6426000</v>
      </c>
      <c r="E4433" t="s">
        <v>188</v>
      </c>
      <c r="F4433">
        <v>5210010105</v>
      </c>
      <c r="G4433" s="13">
        <v>45500</v>
      </c>
      <c r="I4433" t="s">
        <v>179</v>
      </c>
      <c r="J4433" t="s">
        <v>860</v>
      </c>
      <c r="K4433" t="s">
        <v>180</v>
      </c>
      <c r="L4433">
        <v>200101701</v>
      </c>
    </row>
    <row r="4434" spans="3:12">
      <c r="C4434">
        <v>2100300025</v>
      </c>
      <c r="D4434">
        <v>6426000</v>
      </c>
      <c r="E4434" t="s">
        <v>188</v>
      </c>
      <c r="F4434">
        <v>5210010105</v>
      </c>
      <c r="G4434" s="13">
        <v>5600</v>
      </c>
      <c r="I4434" t="s">
        <v>179</v>
      </c>
      <c r="J4434" t="s">
        <v>860</v>
      </c>
      <c r="K4434" t="s">
        <v>180</v>
      </c>
      <c r="L4434">
        <v>200101702</v>
      </c>
    </row>
    <row r="4435" spans="3:12">
      <c r="C4435">
        <v>2100300025</v>
      </c>
      <c r="D4435">
        <v>6426000</v>
      </c>
      <c r="E4435" t="s">
        <v>188</v>
      </c>
      <c r="F4435">
        <v>5210010105</v>
      </c>
      <c r="G4435" s="13">
        <v>5600</v>
      </c>
      <c r="I4435" t="s">
        <v>179</v>
      </c>
      <c r="J4435" t="s">
        <v>860</v>
      </c>
      <c r="K4435" t="s">
        <v>180</v>
      </c>
      <c r="L4435">
        <v>200101703</v>
      </c>
    </row>
    <row r="4436" spans="3:12">
      <c r="C4436">
        <v>2100300025</v>
      </c>
      <c r="D4436">
        <v>6426000</v>
      </c>
      <c r="E4436" t="s">
        <v>188</v>
      </c>
      <c r="F4436">
        <v>5210010105</v>
      </c>
      <c r="G4436" s="13">
        <v>73830</v>
      </c>
      <c r="I4436" t="s">
        <v>179</v>
      </c>
      <c r="J4436" t="s">
        <v>861</v>
      </c>
      <c r="K4436" t="s">
        <v>180</v>
      </c>
      <c r="L4436">
        <v>200103681</v>
      </c>
    </row>
    <row r="4437" spans="3:12">
      <c r="C4437">
        <v>2100300025</v>
      </c>
      <c r="D4437">
        <v>6426000</v>
      </c>
      <c r="E4437" t="s">
        <v>188</v>
      </c>
      <c r="F4437">
        <v>5210010105</v>
      </c>
      <c r="G4437">
        <v>440</v>
      </c>
      <c r="I4437" t="s">
        <v>179</v>
      </c>
      <c r="J4437" t="s">
        <v>861</v>
      </c>
      <c r="K4437" t="s">
        <v>180</v>
      </c>
      <c r="L4437">
        <v>200104039</v>
      </c>
    </row>
    <row r="4438" spans="3:12">
      <c r="C4438">
        <v>2100300025</v>
      </c>
      <c r="D4438">
        <v>6426000</v>
      </c>
      <c r="E4438" t="s">
        <v>188</v>
      </c>
      <c r="F4438">
        <v>5210010105</v>
      </c>
      <c r="G4438" s="13">
        <v>15400</v>
      </c>
      <c r="I4438" t="s">
        <v>179</v>
      </c>
      <c r="J4438" t="s">
        <v>861</v>
      </c>
      <c r="K4438" t="s">
        <v>180</v>
      </c>
      <c r="L4438">
        <v>200104040</v>
      </c>
    </row>
    <row r="4439" spans="3:12">
      <c r="C4439">
        <v>2100300025</v>
      </c>
      <c r="D4439">
        <v>6426000</v>
      </c>
      <c r="E4439" t="s">
        <v>188</v>
      </c>
      <c r="F4439">
        <v>5210010105</v>
      </c>
      <c r="G4439" s="13">
        <v>1232232.58</v>
      </c>
      <c r="I4439" t="s">
        <v>179</v>
      </c>
      <c r="J4439" t="s">
        <v>861</v>
      </c>
      <c r="K4439" t="s">
        <v>180</v>
      </c>
      <c r="L4439">
        <v>200091989</v>
      </c>
    </row>
    <row r="4440" spans="3:12">
      <c r="C4440">
        <v>2100300025</v>
      </c>
      <c r="D4440">
        <v>6426000</v>
      </c>
      <c r="E4440" t="s">
        <v>188</v>
      </c>
      <c r="F4440">
        <v>5210010105</v>
      </c>
      <c r="G4440" s="13">
        <v>29415</v>
      </c>
      <c r="I4440" t="s">
        <v>179</v>
      </c>
      <c r="J4440" t="s">
        <v>861</v>
      </c>
      <c r="K4440" t="s">
        <v>180</v>
      </c>
      <c r="L4440">
        <v>200091990</v>
      </c>
    </row>
    <row r="4441" spans="3:12">
      <c r="C4441">
        <v>2100300025</v>
      </c>
      <c r="D4441">
        <v>6426000</v>
      </c>
      <c r="E4441" t="s">
        <v>188</v>
      </c>
      <c r="F4441">
        <v>5210010105</v>
      </c>
      <c r="G4441" s="13">
        <v>16867.009999999998</v>
      </c>
      <c r="I4441" t="s">
        <v>179</v>
      </c>
      <c r="J4441" t="s">
        <v>861</v>
      </c>
      <c r="K4441" t="s">
        <v>180</v>
      </c>
      <c r="L4441">
        <v>200091991</v>
      </c>
    </row>
    <row r="4442" spans="3:12">
      <c r="C4442">
        <v>2100300025</v>
      </c>
      <c r="D4442">
        <v>6426000</v>
      </c>
      <c r="E4442" t="s">
        <v>188</v>
      </c>
      <c r="F4442">
        <v>5210010105</v>
      </c>
      <c r="G4442" s="13">
        <v>2287.66</v>
      </c>
      <c r="I4442" t="s">
        <v>179</v>
      </c>
      <c r="J4442" t="s">
        <v>975</v>
      </c>
      <c r="K4442" t="s">
        <v>180</v>
      </c>
      <c r="L4442">
        <v>200108345</v>
      </c>
    </row>
    <row r="4443" spans="3:12">
      <c r="C4443">
        <v>2100300025</v>
      </c>
      <c r="D4443">
        <v>6426000</v>
      </c>
      <c r="E4443" t="s">
        <v>188</v>
      </c>
      <c r="F4443">
        <v>5210010105</v>
      </c>
      <c r="G4443">
        <v>204.37</v>
      </c>
      <c r="I4443" t="s">
        <v>179</v>
      </c>
      <c r="J4443" t="s">
        <v>975</v>
      </c>
      <c r="K4443" t="s">
        <v>180</v>
      </c>
      <c r="L4443">
        <v>200107326</v>
      </c>
    </row>
    <row r="4444" spans="3:12">
      <c r="C4444">
        <v>2100300025</v>
      </c>
      <c r="D4444">
        <v>6426000</v>
      </c>
      <c r="E4444" t="s">
        <v>188</v>
      </c>
      <c r="F4444">
        <v>5210010105</v>
      </c>
      <c r="G4444">
        <v>321</v>
      </c>
      <c r="I4444" t="s">
        <v>179</v>
      </c>
      <c r="J4444" t="s">
        <v>975</v>
      </c>
      <c r="K4444" t="s">
        <v>180</v>
      </c>
      <c r="L4444">
        <v>200107327</v>
      </c>
    </row>
    <row r="4445" spans="3:12">
      <c r="C4445">
        <v>2100300025</v>
      </c>
      <c r="D4445">
        <v>6426000</v>
      </c>
      <c r="E4445" t="s">
        <v>188</v>
      </c>
      <c r="F4445">
        <v>5210010105</v>
      </c>
      <c r="G4445" s="13">
        <v>3300</v>
      </c>
      <c r="I4445" t="s">
        <v>179</v>
      </c>
      <c r="J4445" t="s">
        <v>975</v>
      </c>
      <c r="K4445" t="s">
        <v>180</v>
      </c>
      <c r="L4445">
        <v>200107328</v>
      </c>
    </row>
    <row r="4446" spans="3:12">
      <c r="C4446">
        <v>2100300025</v>
      </c>
      <c r="D4446">
        <v>6426000</v>
      </c>
      <c r="E4446" t="s">
        <v>188</v>
      </c>
      <c r="F4446">
        <v>5210010105</v>
      </c>
      <c r="G4446" s="13">
        <v>1950</v>
      </c>
      <c r="I4446" t="s">
        <v>179</v>
      </c>
      <c r="J4446" t="s">
        <v>975</v>
      </c>
      <c r="K4446" t="s">
        <v>180</v>
      </c>
      <c r="L4446">
        <v>200107329</v>
      </c>
    </row>
    <row r="4447" spans="3:12">
      <c r="C4447">
        <v>2100300025</v>
      </c>
      <c r="D4447">
        <v>6426000</v>
      </c>
      <c r="E4447" t="s">
        <v>188</v>
      </c>
      <c r="F4447">
        <v>5210010105</v>
      </c>
      <c r="G4447">
        <v>615</v>
      </c>
      <c r="I4447" t="s">
        <v>179</v>
      </c>
      <c r="J4447" t="s">
        <v>975</v>
      </c>
      <c r="K4447" t="s">
        <v>180</v>
      </c>
      <c r="L4447">
        <v>200107330</v>
      </c>
    </row>
    <row r="4448" spans="3:12">
      <c r="C4448">
        <v>2100300025</v>
      </c>
      <c r="D4448">
        <v>6426000</v>
      </c>
      <c r="E4448" t="s">
        <v>188</v>
      </c>
      <c r="F4448">
        <v>5210010105</v>
      </c>
      <c r="G4448" s="13">
        <v>6200</v>
      </c>
      <c r="I4448" t="s">
        <v>179</v>
      </c>
      <c r="J4448" t="s">
        <v>975</v>
      </c>
      <c r="K4448" t="s">
        <v>180</v>
      </c>
      <c r="L4448">
        <v>200107331</v>
      </c>
    </row>
    <row r="4449" spans="3:12">
      <c r="C4449">
        <v>2100300025</v>
      </c>
      <c r="D4449">
        <v>6426000</v>
      </c>
      <c r="E4449" t="s">
        <v>188</v>
      </c>
      <c r="F4449">
        <v>5210010105</v>
      </c>
      <c r="G4449">
        <v>750</v>
      </c>
      <c r="I4449" t="s">
        <v>179</v>
      </c>
      <c r="J4449" t="s">
        <v>975</v>
      </c>
      <c r="K4449" t="s">
        <v>180</v>
      </c>
      <c r="L4449">
        <v>200107224</v>
      </c>
    </row>
    <row r="4450" spans="3:12">
      <c r="C4450">
        <v>2100300025</v>
      </c>
      <c r="D4450">
        <v>6426000</v>
      </c>
      <c r="E4450" t="s">
        <v>188</v>
      </c>
      <c r="F4450">
        <v>5210010105</v>
      </c>
      <c r="G4450" s="13">
        <v>6890.8</v>
      </c>
      <c r="I4450" t="s">
        <v>179</v>
      </c>
      <c r="J4450" t="s">
        <v>975</v>
      </c>
      <c r="K4450" t="s">
        <v>180</v>
      </c>
      <c r="L4450">
        <v>200109025</v>
      </c>
    </row>
    <row r="4451" spans="3:12">
      <c r="C4451">
        <v>2100300025</v>
      </c>
      <c r="D4451">
        <v>6426000</v>
      </c>
      <c r="E4451" t="s">
        <v>188</v>
      </c>
      <c r="F4451">
        <v>5210010105</v>
      </c>
      <c r="G4451">
        <v>963</v>
      </c>
      <c r="I4451" t="s">
        <v>179</v>
      </c>
      <c r="J4451" t="s">
        <v>975</v>
      </c>
      <c r="K4451" t="s">
        <v>180</v>
      </c>
      <c r="L4451">
        <v>200109026</v>
      </c>
    </row>
    <row r="4452" spans="3:12">
      <c r="C4452">
        <v>2100300025</v>
      </c>
      <c r="D4452">
        <v>6426000</v>
      </c>
      <c r="E4452" t="s">
        <v>188</v>
      </c>
      <c r="F4452">
        <v>5210010105</v>
      </c>
      <c r="G4452" s="13">
        <v>8132</v>
      </c>
      <c r="I4452" t="s">
        <v>179</v>
      </c>
      <c r="J4452" t="s">
        <v>975</v>
      </c>
      <c r="K4452" t="s">
        <v>180</v>
      </c>
      <c r="L4452">
        <v>200109223</v>
      </c>
    </row>
    <row r="4453" spans="3:12">
      <c r="C4453">
        <v>2100300025</v>
      </c>
      <c r="D4453">
        <v>6426000</v>
      </c>
      <c r="E4453" t="s">
        <v>188</v>
      </c>
      <c r="F4453">
        <v>5210010105</v>
      </c>
      <c r="G4453">
        <v>112.35</v>
      </c>
      <c r="I4453" t="s">
        <v>179</v>
      </c>
      <c r="J4453" t="s">
        <v>975</v>
      </c>
      <c r="K4453" t="s">
        <v>180</v>
      </c>
      <c r="L4453">
        <v>200109224</v>
      </c>
    </row>
    <row r="4454" spans="3:12">
      <c r="C4454">
        <v>2100300025</v>
      </c>
      <c r="D4454">
        <v>6426000</v>
      </c>
      <c r="E4454" t="s">
        <v>188</v>
      </c>
      <c r="F4454">
        <v>5210010105</v>
      </c>
      <c r="G4454" s="13">
        <v>17376.8</v>
      </c>
      <c r="I4454" t="s">
        <v>179</v>
      </c>
      <c r="J4454" t="s">
        <v>975</v>
      </c>
      <c r="K4454" t="s">
        <v>180</v>
      </c>
      <c r="L4454">
        <v>200108357</v>
      </c>
    </row>
    <row r="4455" spans="3:12">
      <c r="C4455">
        <v>2100300025</v>
      </c>
      <c r="D4455">
        <v>6426000</v>
      </c>
      <c r="E4455" t="s">
        <v>188</v>
      </c>
      <c r="F4455">
        <v>5210010105</v>
      </c>
      <c r="G4455" s="13">
        <v>13482</v>
      </c>
      <c r="I4455" t="s">
        <v>179</v>
      </c>
      <c r="J4455" t="s">
        <v>975</v>
      </c>
      <c r="K4455" t="s">
        <v>180</v>
      </c>
      <c r="L4455">
        <v>200108362</v>
      </c>
    </row>
    <row r="4456" spans="3:12">
      <c r="C4456">
        <v>2100300025</v>
      </c>
      <c r="D4456">
        <v>6426000</v>
      </c>
      <c r="E4456" t="s">
        <v>188</v>
      </c>
      <c r="F4456">
        <v>5210010105</v>
      </c>
      <c r="G4456">
        <v>449.4</v>
      </c>
      <c r="I4456" t="s">
        <v>179</v>
      </c>
      <c r="J4456" t="s">
        <v>975</v>
      </c>
      <c r="K4456" t="s">
        <v>180</v>
      </c>
      <c r="L4456">
        <v>200108363</v>
      </c>
    </row>
    <row r="4457" spans="3:12">
      <c r="C4457">
        <v>2100300025</v>
      </c>
      <c r="D4457">
        <v>6426000</v>
      </c>
      <c r="E4457" t="s">
        <v>188</v>
      </c>
      <c r="F4457">
        <v>5210010105</v>
      </c>
      <c r="G4457" s="13">
        <v>23197.599999999999</v>
      </c>
      <c r="I4457" t="s">
        <v>179</v>
      </c>
      <c r="J4457" t="s">
        <v>976</v>
      </c>
      <c r="K4457" t="s">
        <v>180</v>
      </c>
      <c r="L4457">
        <v>200103751</v>
      </c>
    </row>
    <row r="4458" spans="3:12">
      <c r="C4458">
        <v>2100300025</v>
      </c>
      <c r="D4458">
        <v>6426000</v>
      </c>
      <c r="E4458" t="s">
        <v>188</v>
      </c>
      <c r="F4458">
        <v>5210010105</v>
      </c>
      <c r="G4458" s="13">
        <v>13650</v>
      </c>
      <c r="I4458" t="s">
        <v>179</v>
      </c>
      <c r="J4458" t="s">
        <v>976</v>
      </c>
      <c r="K4458" t="s">
        <v>180</v>
      </c>
      <c r="L4458">
        <v>200103752</v>
      </c>
    </row>
    <row r="4459" spans="3:12">
      <c r="C4459">
        <v>2100300025</v>
      </c>
      <c r="D4459">
        <v>6426000</v>
      </c>
      <c r="E4459" t="s">
        <v>188</v>
      </c>
      <c r="F4459">
        <v>5210010105</v>
      </c>
      <c r="G4459" s="13">
        <v>47480</v>
      </c>
      <c r="I4459" t="s">
        <v>179</v>
      </c>
      <c r="J4459" t="s">
        <v>977</v>
      </c>
      <c r="K4459" t="s">
        <v>180</v>
      </c>
      <c r="L4459">
        <v>200108333</v>
      </c>
    </row>
    <row r="4460" spans="3:12">
      <c r="C4460">
        <v>2100300025</v>
      </c>
      <c r="D4460">
        <v>6426000</v>
      </c>
      <c r="E4460" t="s">
        <v>188</v>
      </c>
      <c r="F4460">
        <v>5210010105</v>
      </c>
      <c r="G4460" s="13">
        <v>36000</v>
      </c>
      <c r="I4460" t="s">
        <v>179</v>
      </c>
      <c r="J4460" t="s">
        <v>977</v>
      </c>
      <c r="K4460" t="s">
        <v>180</v>
      </c>
      <c r="L4460">
        <v>200108512</v>
      </c>
    </row>
    <row r="4461" spans="3:12">
      <c r="C4461">
        <v>2100300025</v>
      </c>
      <c r="D4461">
        <v>6426000</v>
      </c>
      <c r="E4461" t="s">
        <v>188</v>
      </c>
      <c r="F4461">
        <v>5210010105</v>
      </c>
      <c r="G4461" s="13">
        <v>27000</v>
      </c>
      <c r="I4461" t="s">
        <v>179</v>
      </c>
      <c r="J4461" t="s">
        <v>977</v>
      </c>
      <c r="K4461" t="s">
        <v>180</v>
      </c>
      <c r="L4461">
        <v>200108323</v>
      </c>
    </row>
    <row r="4462" spans="3:12">
      <c r="C4462">
        <v>2100300025</v>
      </c>
      <c r="D4462">
        <v>6426000</v>
      </c>
      <c r="E4462" t="s">
        <v>188</v>
      </c>
      <c r="F4462">
        <v>5210010105</v>
      </c>
      <c r="G4462" s="13">
        <v>18650</v>
      </c>
      <c r="I4462" t="s">
        <v>179</v>
      </c>
      <c r="J4462" t="s">
        <v>977</v>
      </c>
      <c r="K4462" t="s">
        <v>180</v>
      </c>
      <c r="L4462">
        <v>200108514</v>
      </c>
    </row>
    <row r="4463" spans="3:12">
      <c r="C4463">
        <v>2100300025</v>
      </c>
      <c r="D4463">
        <v>6426000</v>
      </c>
      <c r="E4463" t="s">
        <v>188</v>
      </c>
      <c r="F4463">
        <v>5210010105</v>
      </c>
      <c r="G4463" s="13">
        <v>1000</v>
      </c>
      <c r="I4463" t="s">
        <v>179</v>
      </c>
      <c r="J4463" t="s">
        <v>868</v>
      </c>
      <c r="K4463" t="s">
        <v>180</v>
      </c>
      <c r="L4463">
        <v>200113270</v>
      </c>
    </row>
    <row r="4464" spans="3:12">
      <c r="C4464">
        <v>2100300025</v>
      </c>
      <c r="D4464">
        <v>6426000</v>
      </c>
      <c r="E4464" t="s">
        <v>188</v>
      </c>
      <c r="F4464">
        <v>5210010105</v>
      </c>
      <c r="G4464" s="13">
        <v>2190</v>
      </c>
      <c r="I4464" t="s">
        <v>179</v>
      </c>
      <c r="J4464" t="s">
        <v>868</v>
      </c>
      <c r="K4464" t="s">
        <v>180</v>
      </c>
      <c r="L4464">
        <v>200113271</v>
      </c>
    </row>
    <row r="4465" spans="3:12">
      <c r="C4465">
        <v>2100300025</v>
      </c>
      <c r="D4465">
        <v>6426000</v>
      </c>
      <c r="E4465" t="s">
        <v>188</v>
      </c>
      <c r="F4465">
        <v>5210010105</v>
      </c>
      <c r="G4465">
        <v>427</v>
      </c>
      <c r="I4465" t="s">
        <v>179</v>
      </c>
      <c r="J4465" t="s">
        <v>979</v>
      </c>
      <c r="K4465" t="s">
        <v>180</v>
      </c>
      <c r="L4465">
        <v>200116990</v>
      </c>
    </row>
    <row r="4466" spans="3:12">
      <c r="C4466">
        <v>2100300025</v>
      </c>
      <c r="D4466">
        <v>6426000</v>
      </c>
      <c r="E4466" t="s">
        <v>188</v>
      </c>
      <c r="F4466">
        <v>5210010105</v>
      </c>
      <c r="G4466" s="13">
        <v>7195</v>
      </c>
      <c r="I4466" t="s">
        <v>179</v>
      </c>
      <c r="J4466" t="s">
        <v>979</v>
      </c>
      <c r="K4466" t="s">
        <v>180</v>
      </c>
      <c r="L4466">
        <v>200116991</v>
      </c>
    </row>
    <row r="4467" spans="3:12">
      <c r="C4467">
        <v>2100300025</v>
      </c>
      <c r="D4467">
        <v>6426000</v>
      </c>
      <c r="E4467" t="s">
        <v>188</v>
      </c>
      <c r="F4467">
        <v>5210010105</v>
      </c>
      <c r="G4467" s="13">
        <v>10200</v>
      </c>
      <c r="I4467" t="s">
        <v>179</v>
      </c>
      <c r="J4467" t="s">
        <v>980</v>
      </c>
      <c r="K4467" t="s">
        <v>180</v>
      </c>
      <c r="L4467">
        <v>200120474</v>
      </c>
    </row>
    <row r="4468" spans="3:12">
      <c r="C4468">
        <v>2100300025</v>
      </c>
      <c r="D4468">
        <v>6426000</v>
      </c>
      <c r="E4468" t="s">
        <v>188</v>
      </c>
      <c r="F4468">
        <v>5210010105</v>
      </c>
      <c r="G4468" s="13">
        <v>14500</v>
      </c>
      <c r="I4468" t="s">
        <v>179</v>
      </c>
      <c r="J4468" t="s">
        <v>980</v>
      </c>
      <c r="K4468" t="s">
        <v>180</v>
      </c>
      <c r="L4468">
        <v>200120547</v>
      </c>
    </row>
    <row r="4469" spans="3:12">
      <c r="C4469">
        <v>2100300025</v>
      </c>
      <c r="D4469">
        <v>6426000</v>
      </c>
      <c r="E4469" t="s">
        <v>188</v>
      </c>
      <c r="F4469">
        <v>5210010105</v>
      </c>
      <c r="G4469" s="13">
        <v>23930</v>
      </c>
      <c r="I4469" t="s">
        <v>179</v>
      </c>
      <c r="J4469" t="s">
        <v>980</v>
      </c>
      <c r="K4469" t="s">
        <v>180</v>
      </c>
      <c r="L4469">
        <v>200117789</v>
      </c>
    </row>
    <row r="4470" spans="3:12">
      <c r="C4470">
        <v>2100300025</v>
      </c>
      <c r="D4470">
        <v>6426000</v>
      </c>
      <c r="E4470" t="s">
        <v>188</v>
      </c>
      <c r="F4470">
        <v>5210010105</v>
      </c>
      <c r="G4470">
        <v>300</v>
      </c>
      <c r="I4470" t="s">
        <v>179</v>
      </c>
      <c r="J4470" t="s">
        <v>979</v>
      </c>
      <c r="K4470" t="s">
        <v>180</v>
      </c>
      <c r="L4470">
        <v>200117306</v>
      </c>
    </row>
    <row r="4471" spans="3:12">
      <c r="C4471">
        <v>2100300025</v>
      </c>
      <c r="D4471">
        <v>6426000</v>
      </c>
      <c r="E4471" t="s">
        <v>188</v>
      </c>
      <c r="F4471">
        <v>5210010105</v>
      </c>
      <c r="G4471" s="13">
        <v>3125</v>
      </c>
      <c r="I4471" t="s">
        <v>179</v>
      </c>
      <c r="J4471" t="s">
        <v>862</v>
      </c>
      <c r="K4471" t="s">
        <v>180</v>
      </c>
      <c r="L4471">
        <v>200112385</v>
      </c>
    </row>
    <row r="4472" spans="3:12">
      <c r="C4472">
        <v>2100300025</v>
      </c>
      <c r="D4472">
        <v>6426000</v>
      </c>
      <c r="E4472" t="s">
        <v>188</v>
      </c>
      <c r="F4472">
        <v>5210010105</v>
      </c>
      <c r="G4472" s="13">
        <v>1025</v>
      </c>
      <c r="I4472" t="s">
        <v>179</v>
      </c>
      <c r="J4472" t="s">
        <v>862</v>
      </c>
      <c r="K4472" t="s">
        <v>180</v>
      </c>
      <c r="L4472">
        <v>200112388</v>
      </c>
    </row>
    <row r="4473" spans="3:12">
      <c r="C4473">
        <v>2100300025</v>
      </c>
      <c r="D4473">
        <v>6426000</v>
      </c>
      <c r="E4473" t="s">
        <v>188</v>
      </c>
      <c r="F4473">
        <v>5210010105</v>
      </c>
      <c r="G4473" s="13">
        <v>3250</v>
      </c>
      <c r="I4473" t="s">
        <v>179</v>
      </c>
      <c r="J4473" t="s">
        <v>862</v>
      </c>
      <c r="K4473" t="s">
        <v>180</v>
      </c>
      <c r="L4473">
        <v>200112389</v>
      </c>
    </row>
    <row r="4474" spans="3:12">
      <c r="C4474">
        <v>2100300025</v>
      </c>
      <c r="D4474">
        <v>6426000</v>
      </c>
      <c r="E4474" t="s">
        <v>188</v>
      </c>
      <c r="F4474">
        <v>5210010105</v>
      </c>
      <c r="G4474" s="13">
        <v>2800</v>
      </c>
      <c r="I4474" t="s">
        <v>179</v>
      </c>
      <c r="J4474" t="s">
        <v>862</v>
      </c>
      <c r="K4474" t="s">
        <v>180</v>
      </c>
      <c r="L4474">
        <v>200112390</v>
      </c>
    </row>
    <row r="4475" spans="3:12">
      <c r="C4475">
        <v>2100300025</v>
      </c>
      <c r="D4475">
        <v>6426000</v>
      </c>
      <c r="E4475" t="s">
        <v>188</v>
      </c>
      <c r="F4475">
        <v>5210010105</v>
      </c>
      <c r="G4475" s="13">
        <v>3100</v>
      </c>
      <c r="I4475" t="s">
        <v>179</v>
      </c>
      <c r="J4475" t="s">
        <v>862</v>
      </c>
      <c r="K4475" t="s">
        <v>180</v>
      </c>
      <c r="L4475">
        <v>200107888</v>
      </c>
    </row>
    <row r="4476" spans="3:12">
      <c r="C4476">
        <v>2100300025</v>
      </c>
      <c r="D4476">
        <v>6426000</v>
      </c>
      <c r="E4476" t="s">
        <v>188</v>
      </c>
      <c r="F4476">
        <v>5210010105</v>
      </c>
      <c r="G4476" s="13">
        <v>9300</v>
      </c>
      <c r="I4476" t="s">
        <v>179</v>
      </c>
      <c r="J4476" t="s">
        <v>862</v>
      </c>
      <c r="K4476" t="s">
        <v>180</v>
      </c>
      <c r="L4476">
        <v>200113101</v>
      </c>
    </row>
    <row r="4477" spans="3:12">
      <c r="C4477">
        <v>2100300025</v>
      </c>
      <c r="D4477">
        <v>6426000</v>
      </c>
      <c r="E4477" t="s">
        <v>188</v>
      </c>
      <c r="F4477">
        <v>5210010105</v>
      </c>
      <c r="G4477" s="13">
        <v>10400</v>
      </c>
      <c r="I4477" t="s">
        <v>179</v>
      </c>
      <c r="J4477" t="s">
        <v>862</v>
      </c>
      <c r="K4477" t="s">
        <v>180</v>
      </c>
      <c r="L4477">
        <v>200113102</v>
      </c>
    </row>
    <row r="4478" spans="3:12">
      <c r="C4478">
        <v>2100300025</v>
      </c>
      <c r="D4478">
        <v>6426000</v>
      </c>
      <c r="E4478" t="s">
        <v>188</v>
      </c>
      <c r="F4478">
        <v>5210010105</v>
      </c>
      <c r="G4478" s="13">
        <v>2400</v>
      </c>
      <c r="I4478" t="s">
        <v>179</v>
      </c>
      <c r="J4478" t="s">
        <v>862</v>
      </c>
      <c r="K4478" t="s">
        <v>180</v>
      </c>
      <c r="L4478">
        <v>200113103</v>
      </c>
    </row>
    <row r="4479" spans="3:12">
      <c r="C4479">
        <v>2100300025</v>
      </c>
      <c r="D4479">
        <v>6426000</v>
      </c>
      <c r="E4479" t="s">
        <v>188</v>
      </c>
      <c r="F4479">
        <v>5210010105</v>
      </c>
      <c r="G4479">
        <v>820</v>
      </c>
      <c r="I4479" t="s">
        <v>179</v>
      </c>
      <c r="J4479" t="s">
        <v>862</v>
      </c>
      <c r="K4479" t="s">
        <v>180</v>
      </c>
      <c r="L4479">
        <v>200113104</v>
      </c>
    </row>
    <row r="4480" spans="3:12">
      <c r="C4480">
        <v>2100300025</v>
      </c>
      <c r="D4480">
        <v>6426000</v>
      </c>
      <c r="E4480" t="s">
        <v>188</v>
      </c>
      <c r="F4480">
        <v>5210010105</v>
      </c>
      <c r="G4480" s="13">
        <v>9000</v>
      </c>
      <c r="I4480" t="s">
        <v>179</v>
      </c>
      <c r="J4480" t="s">
        <v>862</v>
      </c>
      <c r="K4480" t="s">
        <v>180</v>
      </c>
      <c r="L4480">
        <v>200112612</v>
      </c>
    </row>
    <row r="4481" spans="3:12">
      <c r="C4481">
        <v>2100300025</v>
      </c>
      <c r="D4481">
        <v>6426000</v>
      </c>
      <c r="E4481" t="s">
        <v>188</v>
      </c>
      <c r="F4481">
        <v>5210010105</v>
      </c>
      <c r="G4481" s="13">
        <v>42800</v>
      </c>
      <c r="I4481" t="s">
        <v>179</v>
      </c>
      <c r="J4481" t="s">
        <v>862</v>
      </c>
      <c r="K4481" t="s">
        <v>180</v>
      </c>
      <c r="L4481">
        <v>200112613</v>
      </c>
    </row>
    <row r="4482" spans="3:12">
      <c r="C4482">
        <v>2100300025</v>
      </c>
      <c r="D4482">
        <v>6426000</v>
      </c>
      <c r="E4482" t="s">
        <v>188</v>
      </c>
      <c r="F4482">
        <v>5210010105</v>
      </c>
      <c r="G4482" s="13">
        <v>319930</v>
      </c>
      <c r="I4482" t="s">
        <v>179</v>
      </c>
      <c r="J4482" t="s">
        <v>978</v>
      </c>
      <c r="K4482" t="s">
        <v>180</v>
      </c>
      <c r="L4482">
        <v>200123973</v>
      </c>
    </row>
    <row r="4483" spans="3:12">
      <c r="C4483">
        <v>2100300025</v>
      </c>
      <c r="D4483">
        <v>6426000</v>
      </c>
      <c r="E4483" t="s">
        <v>188</v>
      </c>
      <c r="F4483">
        <v>5210010105</v>
      </c>
      <c r="G4483" s="13">
        <v>6380</v>
      </c>
      <c r="I4483" t="s">
        <v>179</v>
      </c>
      <c r="J4483" t="s">
        <v>978</v>
      </c>
      <c r="K4483" t="s">
        <v>180</v>
      </c>
      <c r="L4483">
        <v>200125467</v>
      </c>
    </row>
    <row r="4484" spans="3:12">
      <c r="C4484">
        <v>2100300025</v>
      </c>
      <c r="D4484">
        <v>6426000</v>
      </c>
      <c r="E4484" t="s">
        <v>188</v>
      </c>
      <c r="F4484">
        <v>5210010105</v>
      </c>
      <c r="G4484" s="13">
        <v>1750</v>
      </c>
      <c r="I4484" t="s">
        <v>179</v>
      </c>
      <c r="J4484" t="s">
        <v>975</v>
      </c>
      <c r="K4484" t="s">
        <v>180</v>
      </c>
      <c r="L4484">
        <v>200108343</v>
      </c>
    </row>
    <row r="4485" spans="3:12">
      <c r="C4485">
        <v>2100300025</v>
      </c>
      <c r="D4485">
        <v>6426000</v>
      </c>
      <c r="E4485" t="s">
        <v>188</v>
      </c>
      <c r="F4485">
        <v>5210010105</v>
      </c>
      <c r="G4485" s="13">
        <v>1800</v>
      </c>
      <c r="I4485" t="s">
        <v>179</v>
      </c>
      <c r="J4485" t="s">
        <v>975</v>
      </c>
      <c r="K4485" t="s">
        <v>180</v>
      </c>
      <c r="L4485">
        <v>200107222</v>
      </c>
    </row>
    <row r="4486" spans="3:12">
      <c r="C4486">
        <v>2100300025</v>
      </c>
      <c r="D4486">
        <v>6426000</v>
      </c>
      <c r="E4486" t="s">
        <v>188</v>
      </c>
      <c r="F4486">
        <v>5210010105</v>
      </c>
      <c r="G4486" s="13">
        <v>10800</v>
      </c>
      <c r="I4486" t="s">
        <v>179</v>
      </c>
      <c r="J4486" t="s">
        <v>975</v>
      </c>
      <c r="K4486" t="s">
        <v>180</v>
      </c>
      <c r="L4486">
        <v>200107223</v>
      </c>
    </row>
    <row r="4487" spans="3:12">
      <c r="C4487">
        <v>2100300025</v>
      </c>
      <c r="D4487">
        <v>6426000</v>
      </c>
      <c r="E4487" t="s">
        <v>188</v>
      </c>
      <c r="F4487">
        <v>5210010105</v>
      </c>
      <c r="G4487" s="13">
        <v>5885</v>
      </c>
      <c r="I4487" t="s">
        <v>179</v>
      </c>
      <c r="J4487" t="s">
        <v>975</v>
      </c>
      <c r="K4487" t="s">
        <v>180</v>
      </c>
      <c r="L4487">
        <v>200109214</v>
      </c>
    </row>
    <row r="4488" spans="3:12">
      <c r="C4488">
        <v>2100300025</v>
      </c>
      <c r="D4488">
        <v>6426000</v>
      </c>
      <c r="E4488" t="s">
        <v>188</v>
      </c>
      <c r="F4488">
        <v>5210010105</v>
      </c>
      <c r="G4488" s="13">
        <v>2300</v>
      </c>
      <c r="I4488" t="s">
        <v>179</v>
      </c>
      <c r="J4488" t="s">
        <v>862</v>
      </c>
      <c r="K4488" t="s">
        <v>180</v>
      </c>
      <c r="L4488">
        <v>200112439</v>
      </c>
    </row>
    <row r="4489" spans="3:12">
      <c r="C4489">
        <v>2100300025</v>
      </c>
      <c r="D4489">
        <v>6426000</v>
      </c>
      <c r="E4489" t="s">
        <v>188</v>
      </c>
      <c r="F4489">
        <v>5210010105</v>
      </c>
      <c r="G4489" s="13">
        <v>12390.6</v>
      </c>
      <c r="I4489" t="s">
        <v>179</v>
      </c>
      <c r="J4489" t="s">
        <v>862</v>
      </c>
      <c r="K4489" t="s">
        <v>180</v>
      </c>
      <c r="L4489">
        <v>200111648</v>
      </c>
    </row>
    <row r="4490" spans="3:12">
      <c r="C4490">
        <v>2100300025</v>
      </c>
      <c r="D4490">
        <v>6426000</v>
      </c>
      <c r="E4490" t="s">
        <v>188</v>
      </c>
      <c r="F4490">
        <v>5210010105</v>
      </c>
      <c r="G4490" s="13">
        <v>56078.7</v>
      </c>
      <c r="I4490" t="s">
        <v>179</v>
      </c>
      <c r="J4490" t="s">
        <v>862</v>
      </c>
      <c r="K4490" t="s">
        <v>180</v>
      </c>
      <c r="L4490">
        <v>200102842</v>
      </c>
    </row>
    <row r="4491" spans="3:12">
      <c r="C4491">
        <v>2100300025</v>
      </c>
      <c r="D4491">
        <v>6426000</v>
      </c>
      <c r="E4491" t="s">
        <v>188</v>
      </c>
      <c r="F4491">
        <v>5210010105</v>
      </c>
      <c r="G4491">
        <v>500</v>
      </c>
      <c r="I4491" t="s">
        <v>179</v>
      </c>
      <c r="J4491" t="s">
        <v>978</v>
      </c>
      <c r="K4491" t="s">
        <v>180</v>
      </c>
      <c r="L4491">
        <v>200125306</v>
      </c>
    </row>
    <row r="4492" spans="3:12">
      <c r="C4492">
        <v>2100300025</v>
      </c>
      <c r="D4492">
        <v>6426000</v>
      </c>
      <c r="E4492" t="s">
        <v>188</v>
      </c>
      <c r="F4492">
        <v>5210010105</v>
      </c>
      <c r="G4492" s="13">
        <v>2955</v>
      </c>
      <c r="I4492" t="s">
        <v>179</v>
      </c>
      <c r="J4492" t="s">
        <v>978</v>
      </c>
      <c r="K4492" t="s">
        <v>180</v>
      </c>
      <c r="L4492">
        <v>200124894</v>
      </c>
    </row>
    <row r="4493" spans="3:12">
      <c r="C4493">
        <v>2100300025</v>
      </c>
      <c r="D4493">
        <v>6426000</v>
      </c>
      <c r="E4493" t="s">
        <v>188</v>
      </c>
      <c r="F4493">
        <v>5210010105</v>
      </c>
      <c r="G4493" s="13">
        <v>2160</v>
      </c>
      <c r="I4493" t="s">
        <v>179</v>
      </c>
      <c r="J4493" t="s">
        <v>978</v>
      </c>
      <c r="K4493" t="s">
        <v>180</v>
      </c>
      <c r="L4493">
        <v>200124283</v>
      </c>
    </row>
    <row r="4494" spans="3:12">
      <c r="C4494">
        <v>2100300025</v>
      </c>
      <c r="D4494">
        <v>6426000</v>
      </c>
      <c r="E4494" t="s">
        <v>188</v>
      </c>
      <c r="F4494">
        <v>5210010105</v>
      </c>
      <c r="G4494" s="13">
        <v>3000</v>
      </c>
      <c r="I4494" t="s">
        <v>179</v>
      </c>
      <c r="J4494" t="s">
        <v>978</v>
      </c>
      <c r="K4494" t="s">
        <v>180</v>
      </c>
      <c r="L4494">
        <v>200124980</v>
      </c>
    </row>
    <row r="4495" spans="3:12">
      <c r="C4495">
        <v>2100300025</v>
      </c>
      <c r="D4495">
        <v>6426000</v>
      </c>
      <c r="E4495" t="s">
        <v>188</v>
      </c>
      <c r="F4495">
        <v>5210010105</v>
      </c>
      <c r="G4495" s="13">
        <v>2300</v>
      </c>
      <c r="I4495" t="s">
        <v>179</v>
      </c>
      <c r="J4495" t="s">
        <v>978</v>
      </c>
      <c r="K4495" t="s">
        <v>180</v>
      </c>
      <c r="L4495">
        <v>200124985</v>
      </c>
    </row>
    <row r="4496" spans="3:12">
      <c r="C4496">
        <v>2100300025</v>
      </c>
      <c r="D4496">
        <v>6426000</v>
      </c>
      <c r="E4496" t="s">
        <v>188</v>
      </c>
      <c r="F4496">
        <v>5210010105</v>
      </c>
      <c r="G4496">
        <v>750</v>
      </c>
      <c r="I4496" t="s">
        <v>179</v>
      </c>
      <c r="J4496" t="s">
        <v>978</v>
      </c>
      <c r="K4496" t="s">
        <v>180</v>
      </c>
      <c r="L4496">
        <v>200124284</v>
      </c>
    </row>
    <row r="4497" spans="3:12">
      <c r="C4497">
        <v>2100300025</v>
      </c>
      <c r="D4497">
        <v>6426000</v>
      </c>
      <c r="E4497" t="s">
        <v>188</v>
      </c>
      <c r="F4497">
        <v>5210010105</v>
      </c>
      <c r="G4497" s="13">
        <v>1750</v>
      </c>
      <c r="I4497" t="s">
        <v>179</v>
      </c>
      <c r="J4497" t="s">
        <v>862</v>
      </c>
      <c r="K4497" t="s">
        <v>180</v>
      </c>
      <c r="L4497">
        <v>200112053</v>
      </c>
    </row>
    <row r="4498" spans="3:12">
      <c r="C4498">
        <v>2100300025</v>
      </c>
      <c r="D4498">
        <v>6426000</v>
      </c>
      <c r="E4498" t="s">
        <v>188</v>
      </c>
      <c r="F4498">
        <v>5210010105</v>
      </c>
      <c r="G4498" s="13">
        <v>4800</v>
      </c>
      <c r="I4498" t="s">
        <v>179</v>
      </c>
      <c r="J4498" t="s">
        <v>862</v>
      </c>
      <c r="K4498" t="s">
        <v>180</v>
      </c>
      <c r="L4498">
        <v>200112705</v>
      </c>
    </row>
    <row r="4499" spans="3:12">
      <c r="C4499">
        <v>2100300025</v>
      </c>
      <c r="D4499">
        <v>6426000</v>
      </c>
      <c r="E4499" t="s">
        <v>188</v>
      </c>
      <c r="F4499">
        <v>5210010105</v>
      </c>
      <c r="G4499" s="13">
        <v>3500</v>
      </c>
      <c r="I4499" t="s">
        <v>179</v>
      </c>
      <c r="J4499" t="s">
        <v>862</v>
      </c>
      <c r="K4499" t="s">
        <v>180</v>
      </c>
      <c r="L4499">
        <v>200112296</v>
      </c>
    </row>
    <row r="4500" spans="3:12">
      <c r="C4500">
        <v>2100300025</v>
      </c>
      <c r="D4500">
        <v>6426000</v>
      </c>
      <c r="E4500" t="s">
        <v>188</v>
      </c>
      <c r="F4500">
        <v>5210010105</v>
      </c>
      <c r="G4500" s="13">
        <v>4000</v>
      </c>
      <c r="I4500" t="s">
        <v>179</v>
      </c>
      <c r="J4500" t="s">
        <v>981</v>
      </c>
      <c r="K4500" t="s">
        <v>180</v>
      </c>
      <c r="L4500">
        <v>200114696</v>
      </c>
    </row>
    <row r="4501" spans="3:12">
      <c r="C4501">
        <v>2100300025</v>
      </c>
      <c r="D4501">
        <v>6426000</v>
      </c>
      <c r="E4501" t="s">
        <v>188</v>
      </c>
      <c r="F4501">
        <v>5210010105</v>
      </c>
      <c r="G4501" s="13">
        <v>3000</v>
      </c>
      <c r="I4501" t="s">
        <v>179</v>
      </c>
      <c r="J4501" t="s">
        <v>981</v>
      </c>
      <c r="K4501" t="s">
        <v>180</v>
      </c>
      <c r="L4501">
        <v>200115078</v>
      </c>
    </row>
    <row r="4502" spans="3:12">
      <c r="C4502">
        <v>2100300025</v>
      </c>
      <c r="D4502">
        <v>6426000</v>
      </c>
      <c r="E4502" t="s">
        <v>188</v>
      </c>
      <c r="F4502">
        <v>5210010105</v>
      </c>
      <c r="G4502">
        <v>695.5</v>
      </c>
      <c r="I4502" t="s">
        <v>179</v>
      </c>
      <c r="J4502" t="s">
        <v>978</v>
      </c>
      <c r="K4502" t="s">
        <v>180</v>
      </c>
      <c r="L4502">
        <v>200123968</v>
      </c>
    </row>
    <row r="4503" spans="3:12">
      <c r="C4503">
        <v>2100300025</v>
      </c>
      <c r="D4503">
        <v>6426000</v>
      </c>
      <c r="E4503" t="s">
        <v>188</v>
      </c>
      <c r="F4503">
        <v>5210010105</v>
      </c>
      <c r="G4503" s="13">
        <v>1611.42</v>
      </c>
      <c r="I4503" t="s">
        <v>179</v>
      </c>
      <c r="J4503" t="s">
        <v>978</v>
      </c>
      <c r="K4503" t="s">
        <v>180</v>
      </c>
      <c r="L4503">
        <v>200124643</v>
      </c>
    </row>
    <row r="4504" spans="3:12">
      <c r="C4504">
        <v>2100300025</v>
      </c>
      <c r="D4504">
        <v>6426000</v>
      </c>
      <c r="E4504" t="s">
        <v>188</v>
      </c>
      <c r="F4504">
        <v>5210010105</v>
      </c>
      <c r="G4504" s="13">
        <v>32500</v>
      </c>
      <c r="I4504" t="s">
        <v>179</v>
      </c>
      <c r="J4504" t="s">
        <v>862</v>
      </c>
      <c r="K4504" t="s">
        <v>180</v>
      </c>
      <c r="L4504">
        <v>200112338</v>
      </c>
    </row>
    <row r="4505" spans="3:12">
      <c r="C4505">
        <v>2100300025</v>
      </c>
      <c r="D4505">
        <v>6426000</v>
      </c>
      <c r="E4505" t="s">
        <v>188</v>
      </c>
      <c r="F4505">
        <v>5210010105</v>
      </c>
      <c r="G4505" s="13">
        <v>2795</v>
      </c>
      <c r="I4505" t="s">
        <v>179</v>
      </c>
      <c r="J4505" t="s">
        <v>862</v>
      </c>
      <c r="K4505" t="s">
        <v>180</v>
      </c>
      <c r="L4505">
        <v>200112520</v>
      </c>
    </row>
    <row r="4506" spans="3:12">
      <c r="C4506">
        <v>2100300025</v>
      </c>
      <c r="D4506">
        <v>6426000</v>
      </c>
      <c r="E4506" t="s">
        <v>188</v>
      </c>
      <c r="F4506">
        <v>5210010105</v>
      </c>
      <c r="G4506" s="13">
        <v>3852</v>
      </c>
      <c r="I4506" t="s">
        <v>179</v>
      </c>
      <c r="J4506" t="s">
        <v>862</v>
      </c>
      <c r="K4506" t="s">
        <v>180</v>
      </c>
      <c r="L4506">
        <v>200112521</v>
      </c>
    </row>
    <row r="4507" spans="3:12">
      <c r="C4507">
        <v>2100300025</v>
      </c>
      <c r="D4507">
        <v>6426000</v>
      </c>
      <c r="E4507" t="s">
        <v>188</v>
      </c>
      <c r="F4507">
        <v>5210010105</v>
      </c>
      <c r="G4507" s="13">
        <v>2675</v>
      </c>
      <c r="I4507" t="s">
        <v>179</v>
      </c>
      <c r="J4507" t="s">
        <v>862</v>
      </c>
      <c r="K4507" t="s">
        <v>180</v>
      </c>
      <c r="L4507">
        <v>200111638</v>
      </c>
    </row>
    <row r="4508" spans="3:12">
      <c r="C4508">
        <v>2100300025</v>
      </c>
      <c r="D4508">
        <v>6426000</v>
      </c>
      <c r="E4508" t="s">
        <v>188</v>
      </c>
      <c r="F4508">
        <v>5210010105</v>
      </c>
      <c r="G4508">
        <v>950</v>
      </c>
      <c r="I4508" t="s">
        <v>179</v>
      </c>
      <c r="J4508" t="s">
        <v>862</v>
      </c>
      <c r="K4508" t="s">
        <v>180</v>
      </c>
      <c r="L4508">
        <v>200112240</v>
      </c>
    </row>
    <row r="4509" spans="3:12">
      <c r="C4509">
        <v>2100300025</v>
      </c>
      <c r="D4509">
        <v>6426000</v>
      </c>
      <c r="E4509" t="s">
        <v>188</v>
      </c>
      <c r="F4509">
        <v>5210010105</v>
      </c>
      <c r="G4509" s="13">
        <v>2300</v>
      </c>
      <c r="I4509" t="s">
        <v>179</v>
      </c>
      <c r="J4509" t="s">
        <v>862</v>
      </c>
      <c r="K4509" t="s">
        <v>180</v>
      </c>
      <c r="L4509">
        <v>200112704</v>
      </c>
    </row>
    <row r="4510" spans="3:12">
      <c r="C4510">
        <v>2100300025</v>
      </c>
      <c r="D4510">
        <v>6426000</v>
      </c>
      <c r="E4510" t="s">
        <v>188</v>
      </c>
      <c r="F4510">
        <v>5210010105</v>
      </c>
      <c r="G4510" s="13">
        <v>34890</v>
      </c>
      <c r="I4510" t="s">
        <v>179</v>
      </c>
      <c r="J4510" t="s">
        <v>981</v>
      </c>
      <c r="K4510" t="s">
        <v>180</v>
      </c>
      <c r="L4510">
        <v>200114764</v>
      </c>
    </row>
    <row r="4511" spans="3:12">
      <c r="C4511">
        <v>2100300025</v>
      </c>
      <c r="D4511">
        <v>6426000</v>
      </c>
      <c r="E4511" t="s">
        <v>188</v>
      </c>
      <c r="F4511">
        <v>5210010105</v>
      </c>
      <c r="G4511" s="13">
        <v>1200</v>
      </c>
      <c r="I4511" t="s">
        <v>179</v>
      </c>
      <c r="J4511" t="s">
        <v>981</v>
      </c>
      <c r="K4511" t="s">
        <v>180</v>
      </c>
      <c r="L4511">
        <v>200113773</v>
      </c>
    </row>
    <row r="4512" spans="3:12">
      <c r="C4512">
        <v>2100300025</v>
      </c>
      <c r="D4512">
        <v>6426000</v>
      </c>
      <c r="E4512" t="s">
        <v>188</v>
      </c>
      <c r="F4512">
        <v>5210010105</v>
      </c>
      <c r="G4512" s="13">
        <v>3900</v>
      </c>
      <c r="I4512" t="s">
        <v>179</v>
      </c>
      <c r="J4512" t="s">
        <v>981</v>
      </c>
      <c r="K4512" t="s">
        <v>180</v>
      </c>
      <c r="L4512">
        <v>200115517</v>
      </c>
    </row>
    <row r="4513" spans="3:12">
      <c r="C4513">
        <v>2100300025</v>
      </c>
      <c r="D4513">
        <v>6426000</v>
      </c>
      <c r="E4513" t="s">
        <v>188</v>
      </c>
      <c r="F4513">
        <v>5210010105</v>
      </c>
      <c r="G4513">
        <v>120</v>
      </c>
      <c r="I4513" t="s">
        <v>179</v>
      </c>
      <c r="J4513" t="s">
        <v>981</v>
      </c>
      <c r="K4513" t="s">
        <v>180</v>
      </c>
      <c r="L4513">
        <v>200115518</v>
      </c>
    </row>
    <row r="4514" spans="3:12">
      <c r="C4514">
        <v>2100300025</v>
      </c>
      <c r="D4514">
        <v>6426000</v>
      </c>
      <c r="E4514" t="s">
        <v>188</v>
      </c>
      <c r="F4514">
        <v>5210010105</v>
      </c>
      <c r="G4514" s="13">
        <v>1000</v>
      </c>
      <c r="I4514" t="s">
        <v>179</v>
      </c>
      <c r="J4514" t="s">
        <v>981</v>
      </c>
      <c r="K4514" t="s">
        <v>180</v>
      </c>
      <c r="L4514">
        <v>200115519</v>
      </c>
    </row>
    <row r="4515" spans="3:12">
      <c r="C4515">
        <v>2100300025</v>
      </c>
      <c r="D4515">
        <v>6426000</v>
      </c>
      <c r="E4515" t="s">
        <v>188</v>
      </c>
      <c r="F4515">
        <v>5210010105</v>
      </c>
      <c r="G4515" s="13">
        <v>1040</v>
      </c>
      <c r="I4515" t="s">
        <v>179</v>
      </c>
      <c r="J4515" t="s">
        <v>981</v>
      </c>
      <c r="K4515" t="s">
        <v>180</v>
      </c>
      <c r="L4515">
        <v>200115520</v>
      </c>
    </row>
    <row r="4516" spans="3:12">
      <c r="C4516">
        <v>2100300025</v>
      </c>
      <c r="D4516">
        <v>6426000</v>
      </c>
      <c r="E4516" t="s">
        <v>188</v>
      </c>
      <c r="F4516">
        <v>5210010105</v>
      </c>
      <c r="G4516" s="13">
        <v>1042</v>
      </c>
      <c r="I4516" t="s">
        <v>179</v>
      </c>
      <c r="J4516" t="s">
        <v>981</v>
      </c>
      <c r="K4516" t="s">
        <v>180</v>
      </c>
      <c r="L4516">
        <v>200115521</v>
      </c>
    </row>
    <row r="4517" spans="3:12">
      <c r="C4517">
        <v>2100300025</v>
      </c>
      <c r="D4517">
        <v>6426000</v>
      </c>
      <c r="E4517" t="s">
        <v>188</v>
      </c>
      <c r="F4517">
        <v>5210010105</v>
      </c>
      <c r="G4517" s="13">
        <v>7500</v>
      </c>
      <c r="I4517" t="s">
        <v>179</v>
      </c>
      <c r="J4517" t="s">
        <v>981</v>
      </c>
      <c r="K4517" t="s">
        <v>180</v>
      </c>
      <c r="L4517">
        <v>200114766</v>
      </c>
    </row>
    <row r="4518" spans="3:12">
      <c r="C4518">
        <v>2100300025</v>
      </c>
      <c r="D4518">
        <v>6426000</v>
      </c>
      <c r="E4518" t="s">
        <v>188</v>
      </c>
      <c r="F4518">
        <v>5210010105</v>
      </c>
      <c r="G4518" s="13">
        <v>83040</v>
      </c>
      <c r="I4518" t="s">
        <v>179</v>
      </c>
      <c r="J4518" t="s">
        <v>982</v>
      </c>
      <c r="K4518" t="s">
        <v>180</v>
      </c>
      <c r="L4518">
        <v>200119828</v>
      </c>
    </row>
    <row r="4519" spans="3:12">
      <c r="C4519">
        <v>2100300025</v>
      </c>
      <c r="D4519">
        <v>6426000</v>
      </c>
      <c r="E4519" t="s">
        <v>188</v>
      </c>
      <c r="F4519">
        <v>5210010105</v>
      </c>
      <c r="G4519" s="13">
        <v>1400133.75</v>
      </c>
      <c r="I4519" t="s">
        <v>179</v>
      </c>
      <c r="J4519" t="s">
        <v>982</v>
      </c>
      <c r="K4519" t="s">
        <v>180</v>
      </c>
      <c r="L4519">
        <v>200119829</v>
      </c>
    </row>
    <row r="4520" spans="3:12">
      <c r="C4520">
        <v>2100300025</v>
      </c>
      <c r="D4520">
        <v>6426000</v>
      </c>
      <c r="E4520" t="s">
        <v>188</v>
      </c>
      <c r="F4520">
        <v>5210010105</v>
      </c>
      <c r="G4520" s="13">
        <v>2190</v>
      </c>
      <c r="I4520" t="s">
        <v>179</v>
      </c>
      <c r="J4520" t="s">
        <v>982</v>
      </c>
      <c r="K4520" t="s">
        <v>180</v>
      </c>
      <c r="L4520">
        <v>200103962</v>
      </c>
    </row>
    <row r="4521" spans="3:12">
      <c r="C4521">
        <v>2100300025</v>
      </c>
      <c r="D4521">
        <v>6426000</v>
      </c>
      <c r="E4521" t="s">
        <v>188</v>
      </c>
      <c r="F4521">
        <v>5210010105</v>
      </c>
      <c r="G4521">
        <v>400</v>
      </c>
      <c r="I4521" t="s">
        <v>179</v>
      </c>
      <c r="J4521" t="s">
        <v>982</v>
      </c>
      <c r="K4521" t="s">
        <v>180</v>
      </c>
      <c r="L4521">
        <v>200118089</v>
      </c>
    </row>
    <row r="4522" spans="3:12">
      <c r="C4522">
        <v>2100300025</v>
      </c>
      <c r="D4522">
        <v>6426000</v>
      </c>
      <c r="E4522" t="s">
        <v>188</v>
      </c>
      <c r="F4522">
        <v>5210010105</v>
      </c>
      <c r="G4522">
        <v>375</v>
      </c>
      <c r="I4522" t="s">
        <v>179</v>
      </c>
      <c r="J4522" t="s">
        <v>982</v>
      </c>
      <c r="K4522" t="s">
        <v>180</v>
      </c>
      <c r="L4522">
        <v>200119031</v>
      </c>
    </row>
    <row r="4523" spans="3:12">
      <c r="C4523">
        <v>2100300025</v>
      </c>
      <c r="D4523">
        <v>6426000</v>
      </c>
      <c r="E4523" t="s">
        <v>188</v>
      </c>
      <c r="F4523">
        <v>5210010105</v>
      </c>
      <c r="G4523" s="13">
        <v>2500</v>
      </c>
      <c r="I4523" t="s">
        <v>179</v>
      </c>
      <c r="J4523" t="s">
        <v>982</v>
      </c>
      <c r="K4523" t="s">
        <v>180</v>
      </c>
      <c r="L4523">
        <v>200119032</v>
      </c>
    </row>
    <row r="4524" spans="3:12">
      <c r="C4524">
        <v>2100300025</v>
      </c>
      <c r="D4524">
        <v>6426000</v>
      </c>
      <c r="E4524" t="s">
        <v>188</v>
      </c>
      <c r="F4524">
        <v>5210010105</v>
      </c>
      <c r="G4524" s="13">
        <v>63932.5</v>
      </c>
      <c r="I4524" t="s">
        <v>179</v>
      </c>
      <c r="J4524" t="s">
        <v>982</v>
      </c>
      <c r="K4524" t="s">
        <v>180</v>
      </c>
      <c r="L4524">
        <v>200118312</v>
      </c>
    </row>
    <row r="4525" spans="3:12">
      <c r="C4525">
        <v>2100300025</v>
      </c>
      <c r="D4525">
        <v>6426000</v>
      </c>
      <c r="E4525" t="s">
        <v>188</v>
      </c>
      <c r="F4525">
        <v>5210010105</v>
      </c>
      <c r="G4525" s="13">
        <v>1350</v>
      </c>
      <c r="I4525" t="s">
        <v>179</v>
      </c>
      <c r="J4525" t="s">
        <v>982</v>
      </c>
      <c r="K4525" t="s">
        <v>180</v>
      </c>
      <c r="L4525">
        <v>200119521</v>
      </c>
    </row>
    <row r="4526" spans="3:12">
      <c r="C4526">
        <v>2100300025</v>
      </c>
      <c r="D4526">
        <v>6426000</v>
      </c>
      <c r="E4526" t="s">
        <v>188</v>
      </c>
      <c r="F4526">
        <v>5210010105</v>
      </c>
      <c r="G4526" s="13">
        <v>4785</v>
      </c>
      <c r="I4526" t="s">
        <v>179</v>
      </c>
      <c r="J4526" t="s">
        <v>982</v>
      </c>
      <c r="K4526" t="s">
        <v>180</v>
      </c>
      <c r="L4526">
        <v>200119522</v>
      </c>
    </row>
    <row r="4527" spans="3:12">
      <c r="C4527">
        <v>2100300025</v>
      </c>
      <c r="D4527">
        <v>6426000</v>
      </c>
      <c r="E4527" t="s">
        <v>188</v>
      </c>
      <c r="F4527">
        <v>5210010105</v>
      </c>
      <c r="G4527" s="13">
        <v>78800</v>
      </c>
      <c r="I4527" t="s">
        <v>179</v>
      </c>
      <c r="J4527" t="s">
        <v>982</v>
      </c>
      <c r="K4527" t="s">
        <v>180</v>
      </c>
      <c r="L4527">
        <v>200119683</v>
      </c>
    </row>
    <row r="4528" spans="3:12">
      <c r="C4528">
        <v>2100300025</v>
      </c>
      <c r="D4528">
        <v>6426000</v>
      </c>
      <c r="E4528" t="s">
        <v>188</v>
      </c>
      <c r="F4528">
        <v>5210010105</v>
      </c>
      <c r="G4528" s="13">
        <v>32500</v>
      </c>
      <c r="I4528" t="s">
        <v>179</v>
      </c>
      <c r="J4528" t="s">
        <v>557</v>
      </c>
      <c r="K4528" t="s">
        <v>180</v>
      </c>
      <c r="L4528">
        <v>200112656</v>
      </c>
    </row>
    <row r="4529" spans="3:12">
      <c r="C4529">
        <v>2100300025</v>
      </c>
      <c r="D4529">
        <v>6426000</v>
      </c>
      <c r="E4529" t="s">
        <v>188</v>
      </c>
      <c r="F4529">
        <v>5210010105</v>
      </c>
      <c r="G4529" s="13">
        <v>46000</v>
      </c>
      <c r="I4529" t="s">
        <v>179</v>
      </c>
      <c r="J4529" t="s">
        <v>557</v>
      </c>
      <c r="K4529" t="s">
        <v>180</v>
      </c>
      <c r="L4529">
        <v>200112657</v>
      </c>
    </row>
    <row r="4530" spans="3:12">
      <c r="C4530">
        <v>2100300025</v>
      </c>
      <c r="D4530">
        <v>6426000</v>
      </c>
      <c r="E4530" t="s">
        <v>188</v>
      </c>
      <c r="F4530">
        <v>5210010105</v>
      </c>
      <c r="G4530" s="13">
        <v>24500</v>
      </c>
      <c r="I4530" t="s">
        <v>179</v>
      </c>
      <c r="J4530" t="s">
        <v>557</v>
      </c>
      <c r="K4530" t="s">
        <v>180</v>
      </c>
      <c r="L4530">
        <v>200115107</v>
      </c>
    </row>
    <row r="4531" spans="3:12">
      <c r="C4531">
        <v>2100300025</v>
      </c>
      <c r="D4531">
        <v>6426000</v>
      </c>
      <c r="E4531" t="s">
        <v>188</v>
      </c>
      <c r="F4531">
        <v>5210010105</v>
      </c>
      <c r="G4531" s="13">
        <v>1550</v>
      </c>
      <c r="I4531" t="s">
        <v>179</v>
      </c>
      <c r="J4531" t="s">
        <v>557</v>
      </c>
      <c r="K4531" t="s">
        <v>180</v>
      </c>
      <c r="L4531">
        <v>200113142</v>
      </c>
    </row>
    <row r="4532" spans="3:12">
      <c r="C4532">
        <v>2100300025</v>
      </c>
      <c r="D4532">
        <v>6426000</v>
      </c>
      <c r="E4532" t="s">
        <v>188</v>
      </c>
      <c r="F4532">
        <v>5210010105</v>
      </c>
      <c r="G4532" s="13">
        <v>16800</v>
      </c>
      <c r="I4532" t="s">
        <v>179</v>
      </c>
      <c r="J4532" t="s">
        <v>557</v>
      </c>
      <c r="K4532" t="s">
        <v>180</v>
      </c>
      <c r="L4532">
        <v>200113143</v>
      </c>
    </row>
    <row r="4533" spans="3:12">
      <c r="C4533">
        <v>2100300025</v>
      </c>
      <c r="D4533">
        <v>6426000</v>
      </c>
      <c r="E4533" t="s">
        <v>188</v>
      </c>
      <c r="F4533">
        <v>5210010105</v>
      </c>
      <c r="G4533" s="13">
        <v>49600</v>
      </c>
      <c r="I4533" t="s">
        <v>179</v>
      </c>
      <c r="J4533" t="s">
        <v>557</v>
      </c>
      <c r="K4533" t="s">
        <v>180</v>
      </c>
      <c r="L4533">
        <v>200113144</v>
      </c>
    </row>
    <row r="4534" spans="3:12">
      <c r="C4534">
        <v>2100300025</v>
      </c>
      <c r="D4534">
        <v>6426000</v>
      </c>
      <c r="E4534" t="s">
        <v>188</v>
      </c>
      <c r="F4534">
        <v>5210010105</v>
      </c>
      <c r="G4534" s="13">
        <v>9630</v>
      </c>
      <c r="I4534" t="s">
        <v>179</v>
      </c>
      <c r="J4534" t="s">
        <v>557</v>
      </c>
      <c r="K4534" t="s">
        <v>180</v>
      </c>
      <c r="L4534">
        <v>200113145</v>
      </c>
    </row>
    <row r="4535" spans="3:12">
      <c r="C4535">
        <v>2100300025</v>
      </c>
      <c r="D4535">
        <v>6426000</v>
      </c>
      <c r="E4535" t="s">
        <v>188</v>
      </c>
      <c r="F4535">
        <v>5210010105</v>
      </c>
      <c r="G4535" s="13">
        <v>2000</v>
      </c>
      <c r="I4535" t="s">
        <v>179</v>
      </c>
      <c r="J4535" t="s">
        <v>557</v>
      </c>
      <c r="K4535" t="s">
        <v>180</v>
      </c>
      <c r="L4535">
        <v>200113146</v>
      </c>
    </row>
    <row r="4536" spans="3:12">
      <c r="C4536">
        <v>2100300025</v>
      </c>
      <c r="D4536">
        <v>6426000</v>
      </c>
      <c r="E4536" t="s">
        <v>188</v>
      </c>
      <c r="F4536">
        <v>5210010105</v>
      </c>
      <c r="G4536" s="13">
        <v>9779.7999999999993</v>
      </c>
      <c r="I4536" t="s">
        <v>179</v>
      </c>
      <c r="J4536" t="s">
        <v>557</v>
      </c>
      <c r="K4536" t="s">
        <v>180</v>
      </c>
      <c r="L4536">
        <v>200114184</v>
      </c>
    </row>
    <row r="4537" spans="3:12">
      <c r="C4537">
        <v>2100300025</v>
      </c>
      <c r="D4537">
        <v>6426000</v>
      </c>
      <c r="E4537" t="s">
        <v>188</v>
      </c>
      <c r="F4537">
        <v>5210010105</v>
      </c>
      <c r="G4537" s="13">
        <v>10143.6</v>
      </c>
      <c r="I4537" t="s">
        <v>179</v>
      </c>
      <c r="J4537" t="s">
        <v>557</v>
      </c>
      <c r="K4537" t="s">
        <v>180</v>
      </c>
      <c r="L4537">
        <v>200114185</v>
      </c>
    </row>
    <row r="4538" spans="3:12">
      <c r="C4538">
        <v>2100300025</v>
      </c>
      <c r="D4538">
        <v>6426000</v>
      </c>
      <c r="E4538" t="s">
        <v>188</v>
      </c>
      <c r="F4538">
        <v>5210010105</v>
      </c>
      <c r="G4538" s="13">
        <v>1200</v>
      </c>
      <c r="I4538" t="s">
        <v>179</v>
      </c>
      <c r="J4538" t="s">
        <v>557</v>
      </c>
      <c r="K4538" t="s">
        <v>180</v>
      </c>
      <c r="L4538">
        <v>200114186</v>
      </c>
    </row>
    <row r="4539" spans="3:12">
      <c r="C4539">
        <v>2100300025</v>
      </c>
      <c r="D4539">
        <v>6426000</v>
      </c>
      <c r="E4539" t="s">
        <v>188</v>
      </c>
      <c r="F4539">
        <v>5210010105</v>
      </c>
      <c r="G4539" s="13">
        <v>45689</v>
      </c>
      <c r="I4539" t="s">
        <v>179</v>
      </c>
      <c r="J4539" t="s">
        <v>557</v>
      </c>
      <c r="K4539" t="s">
        <v>180</v>
      </c>
      <c r="L4539">
        <v>200114187</v>
      </c>
    </row>
    <row r="4540" spans="3:12">
      <c r="C4540">
        <v>2100300025</v>
      </c>
      <c r="D4540">
        <v>6426000</v>
      </c>
      <c r="E4540" t="s">
        <v>188</v>
      </c>
      <c r="F4540">
        <v>5210010105</v>
      </c>
      <c r="G4540" s="13">
        <v>63120</v>
      </c>
      <c r="I4540" t="s">
        <v>179</v>
      </c>
      <c r="J4540" t="s">
        <v>865</v>
      </c>
      <c r="K4540" t="s">
        <v>180</v>
      </c>
      <c r="L4540">
        <v>200115184</v>
      </c>
    </row>
    <row r="4541" spans="3:12">
      <c r="C4541">
        <v>2100300025</v>
      </c>
      <c r="D4541">
        <v>6426000</v>
      </c>
      <c r="E4541" t="s">
        <v>188</v>
      </c>
      <c r="F4541">
        <v>5210010105</v>
      </c>
      <c r="G4541" s="13">
        <v>1420053.75</v>
      </c>
      <c r="I4541" t="s">
        <v>179</v>
      </c>
      <c r="J4541" t="s">
        <v>865</v>
      </c>
      <c r="K4541" t="s">
        <v>180</v>
      </c>
      <c r="L4541">
        <v>200115185</v>
      </c>
    </row>
    <row r="4542" spans="3:12">
      <c r="C4542">
        <v>2100300025</v>
      </c>
      <c r="D4542">
        <v>6426000</v>
      </c>
      <c r="E4542" t="s">
        <v>188</v>
      </c>
      <c r="F4542">
        <v>5210010105</v>
      </c>
      <c r="G4542" s="13">
        <v>108060</v>
      </c>
      <c r="I4542" t="s">
        <v>179</v>
      </c>
      <c r="J4542" t="s">
        <v>865</v>
      </c>
      <c r="K4542" t="s">
        <v>180</v>
      </c>
      <c r="L4542">
        <v>200119203</v>
      </c>
    </row>
    <row r="4543" spans="3:12">
      <c r="C4543">
        <v>2100300025</v>
      </c>
      <c r="D4543">
        <v>6426000</v>
      </c>
      <c r="E4543" t="s">
        <v>188</v>
      </c>
      <c r="F4543">
        <v>5210010105</v>
      </c>
      <c r="G4543" s="13">
        <v>1239020</v>
      </c>
      <c r="I4543" t="s">
        <v>179</v>
      </c>
      <c r="J4543" t="s">
        <v>863</v>
      </c>
      <c r="K4543" t="s">
        <v>180</v>
      </c>
      <c r="L4543">
        <v>200124236</v>
      </c>
    </row>
    <row r="4544" spans="3:12">
      <c r="C4544">
        <v>2100300025</v>
      </c>
      <c r="D4544">
        <v>6426000</v>
      </c>
      <c r="E4544" t="s">
        <v>188</v>
      </c>
      <c r="F4544">
        <v>5210010105</v>
      </c>
      <c r="G4544" s="13">
        <v>200749.12</v>
      </c>
      <c r="I4544" t="s">
        <v>179</v>
      </c>
      <c r="J4544" t="s">
        <v>978</v>
      </c>
      <c r="K4544" t="s">
        <v>180</v>
      </c>
      <c r="L4544">
        <v>200125468</v>
      </c>
    </row>
    <row r="4545" spans="3:12">
      <c r="C4545">
        <v>2100300025</v>
      </c>
      <c r="D4545">
        <v>6426000</v>
      </c>
      <c r="E4545" t="s">
        <v>188</v>
      </c>
      <c r="F4545">
        <v>5210010105</v>
      </c>
      <c r="G4545" s="13">
        <v>13300</v>
      </c>
      <c r="I4545" t="s">
        <v>179</v>
      </c>
      <c r="J4545" t="s">
        <v>861</v>
      </c>
      <c r="K4545" t="s">
        <v>180</v>
      </c>
      <c r="L4545">
        <v>200101940</v>
      </c>
    </row>
    <row r="4546" spans="3:12">
      <c r="C4546">
        <v>2100300025</v>
      </c>
      <c r="D4546">
        <v>6426000</v>
      </c>
      <c r="E4546" t="s">
        <v>188</v>
      </c>
      <c r="F4546">
        <v>5210010105</v>
      </c>
      <c r="G4546" s="13">
        <v>96000</v>
      </c>
      <c r="I4546" t="s">
        <v>179</v>
      </c>
      <c r="J4546" t="s">
        <v>861</v>
      </c>
      <c r="K4546" t="s">
        <v>180</v>
      </c>
      <c r="L4546">
        <v>200104159</v>
      </c>
    </row>
    <row r="4547" spans="3:12">
      <c r="C4547">
        <v>2100300025</v>
      </c>
      <c r="D4547">
        <v>6426000</v>
      </c>
      <c r="E4547" t="s">
        <v>188</v>
      </c>
      <c r="F4547">
        <v>5210010105</v>
      </c>
      <c r="G4547" s="13">
        <v>59400</v>
      </c>
      <c r="I4547" t="s">
        <v>179</v>
      </c>
      <c r="J4547" t="s">
        <v>861</v>
      </c>
      <c r="K4547" t="s">
        <v>180</v>
      </c>
      <c r="L4547">
        <v>200104160</v>
      </c>
    </row>
    <row r="4548" spans="3:12">
      <c r="C4548">
        <v>2100300025</v>
      </c>
      <c r="D4548">
        <v>6426000</v>
      </c>
      <c r="E4548" t="s">
        <v>188</v>
      </c>
      <c r="F4548">
        <v>5210010105</v>
      </c>
      <c r="G4548" s="13">
        <v>8132</v>
      </c>
      <c r="I4548" t="s">
        <v>179</v>
      </c>
      <c r="J4548" t="s">
        <v>861</v>
      </c>
      <c r="K4548" t="s">
        <v>180</v>
      </c>
      <c r="L4548">
        <v>200103680</v>
      </c>
    </row>
    <row r="4549" spans="3:12">
      <c r="C4549">
        <v>2100300025</v>
      </c>
      <c r="D4549">
        <v>6426000</v>
      </c>
      <c r="E4549" t="s">
        <v>188</v>
      </c>
      <c r="F4549">
        <v>5210010105</v>
      </c>
      <c r="G4549" s="13">
        <v>4738.2</v>
      </c>
      <c r="I4549" t="s">
        <v>179</v>
      </c>
      <c r="J4549" t="s">
        <v>861</v>
      </c>
      <c r="K4549" t="s">
        <v>180</v>
      </c>
      <c r="L4549">
        <v>200102969</v>
      </c>
    </row>
    <row r="4550" spans="3:12">
      <c r="C4550">
        <v>2100300025</v>
      </c>
      <c r="D4550">
        <v>6426000</v>
      </c>
      <c r="E4550" t="s">
        <v>188</v>
      </c>
      <c r="F4550">
        <v>5210010105</v>
      </c>
      <c r="G4550" s="13">
        <v>15000</v>
      </c>
      <c r="I4550" t="s">
        <v>179</v>
      </c>
      <c r="J4550" t="s">
        <v>861</v>
      </c>
      <c r="K4550" t="s">
        <v>180</v>
      </c>
      <c r="L4550">
        <v>200104068</v>
      </c>
    </row>
    <row r="4551" spans="3:12">
      <c r="C4551">
        <v>2100300025</v>
      </c>
      <c r="D4551">
        <v>6426000</v>
      </c>
      <c r="E4551" t="s">
        <v>188</v>
      </c>
      <c r="F4551">
        <v>5210010105</v>
      </c>
      <c r="G4551" s="13">
        <v>2568</v>
      </c>
      <c r="I4551" t="s">
        <v>179</v>
      </c>
      <c r="J4551" t="s">
        <v>975</v>
      </c>
      <c r="K4551" t="s">
        <v>180</v>
      </c>
      <c r="L4551">
        <v>200109204</v>
      </c>
    </row>
    <row r="4552" spans="3:12">
      <c r="C4552">
        <v>2100300025</v>
      </c>
      <c r="D4552">
        <v>6426000</v>
      </c>
      <c r="E4552" t="s">
        <v>188</v>
      </c>
      <c r="F4552">
        <v>5210010105</v>
      </c>
      <c r="G4552" s="13">
        <v>2590</v>
      </c>
      <c r="I4552" t="s">
        <v>179</v>
      </c>
      <c r="J4552" t="s">
        <v>975</v>
      </c>
      <c r="K4552" t="s">
        <v>180</v>
      </c>
      <c r="L4552">
        <v>200109011</v>
      </c>
    </row>
    <row r="4553" spans="3:12">
      <c r="C4553">
        <v>2100300025</v>
      </c>
      <c r="D4553">
        <v>6426000</v>
      </c>
      <c r="E4553" t="s">
        <v>188</v>
      </c>
      <c r="F4553">
        <v>5210010105</v>
      </c>
      <c r="G4553" s="13">
        <v>4889.8999999999996</v>
      </c>
      <c r="I4553" t="s">
        <v>179</v>
      </c>
      <c r="J4553" t="s">
        <v>975</v>
      </c>
      <c r="K4553" t="s">
        <v>180</v>
      </c>
      <c r="L4553">
        <v>200108344</v>
      </c>
    </row>
    <row r="4554" spans="3:12">
      <c r="C4554">
        <v>2100300025</v>
      </c>
      <c r="D4554">
        <v>6426000</v>
      </c>
      <c r="E4554" t="s">
        <v>188</v>
      </c>
      <c r="F4554">
        <v>5210010105</v>
      </c>
      <c r="G4554" s="13">
        <v>5250</v>
      </c>
      <c r="I4554" t="s">
        <v>179</v>
      </c>
      <c r="J4554" t="s">
        <v>975</v>
      </c>
      <c r="K4554" t="s">
        <v>180</v>
      </c>
      <c r="L4554">
        <v>200107226</v>
      </c>
    </row>
    <row r="4555" spans="3:12">
      <c r="C4555">
        <v>2100300025</v>
      </c>
      <c r="D4555">
        <v>6426000</v>
      </c>
      <c r="E4555" t="s">
        <v>188</v>
      </c>
      <c r="F4555">
        <v>5210010105</v>
      </c>
      <c r="G4555">
        <v>279.27</v>
      </c>
      <c r="I4555" t="s">
        <v>179</v>
      </c>
      <c r="J4555" t="s">
        <v>975</v>
      </c>
      <c r="K4555" t="s">
        <v>180</v>
      </c>
      <c r="L4555">
        <v>200107228</v>
      </c>
    </row>
    <row r="4556" spans="3:12">
      <c r="C4556">
        <v>2100300025</v>
      </c>
      <c r="D4556">
        <v>6426000</v>
      </c>
      <c r="E4556" t="s">
        <v>188</v>
      </c>
      <c r="F4556">
        <v>5210010105</v>
      </c>
      <c r="G4556">
        <v>96.3</v>
      </c>
      <c r="I4556" t="s">
        <v>179</v>
      </c>
      <c r="J4556" t="s">
        <v>975</v>
      </c>
      <c r="K4556" t="s">
        <v>180</v>
      </c>
      <c r="L4556">
        <v>200107229</v>
      </c>
    </row>
    <row r="4557" spans="3:12">
      <c r="C4557">
        <v>2100300025</v>
      </c>
      <c r="D4557">
        <v>6426000</v>
      </c>
      <c r="E4557" t="s">
        <v>188</v>
      </c>
      <c r="F4557">
        <v>5210010105</v>
      </c>
      <c r="G4557" s="13">
        <v>26750</v>
      </c>
      <c r="I4557" t="s">
        <v>179</v>
      </c>
      <c r="J4557" t="s">
        <v>975</v>
      </c>
      <c r="K4557" t="s">
        <v>180</v>
      </c>
      <c r="L4557">
        <v>200107230</v>
      </c>
    </row>
    <row r="4558" spans="3:12">
      <c r="C4558">
        <v>2100300025</v>
      </c>
      <c r="D4558">
        <v>6426000</v>
      </c>
      <c r="E4558" t="s">
        <v>188</v>
      </c>
      <c r="F4558">
        <v>5210010105</v>
      </c>
      <c r="G4558" s="13">
        <v>8881</v>
      </c>
      <c r="I4558" t="s">
        <v>179</v>
      </c>
      <c r="J4558" t="s">
        <v>975</v>
      </c>
      <c r="K4558" t="s">
        <v>180</v>
      </c>
      <c r="L4558">
        <v>200108353</v>
      </c>
    </row>
    <row r="4559" spans="3:12">
      <c r="C4559">
        <v>2100300025</v>
      </c>
      <c r="D4559">
        <v>6426000</v>
      </c>
      <c r="E4559" t="s">
        <v>188</v>
      </c>
      <c r="F4559">
        <v>5210010105</v>
      </c>
      <c r="G4559" s="13">
        <v>6940.02</v>
      </c>
      <c r="I4559" t="s">
        <v>179</v>
      </c>
      <c r="J4559" t="s">
        <v>975</v>
      </c>
      <c r="K4559" t="s">
        <v>180</v>
      </c>
      <c r="L4559">
        <v>200109216</v>
      </c>
    </row>
    <row r="4560" spans="3:12">
      <c r="C4560">
        <v>2100300025</v>
      </c>
      <c r="D4560">
        <v>6426000</v>
      </c>
      <c r="E4560" t="s">
        <v>188</v>
      </c>
      <c r="F4560">
        <v>5210010105</v>
      </c>
      <c r="G4560" s="13">
        <v>52483.5</v>
      </c>
      <c r="I4560" t="s">
        <v>179</v>
      </c>
      <c r="J4560" t="s">
        <v>975</v>
      </c>
      <c r="K4560" t="s">
        <v>180</v>
      </c>
      <c r="L4560">
        <v>200109217</v>
      </c>
    </row>
    <row r="4561" spans="3:12">
      <c r="C4561">
        <v>2100300025</v>
      </c>
      <c r="D4561">
        <v>6426000</v>
      </c>
      <c r="E4561" t="s">
        <v>188</v>
      </c>
      <c r="F4561">
        <v>5210010105</v>
      </c>
      <c r="G4561" s="13">
        <v>4173</v>
      </c>
      <c r="I4561" t="s">
        <v>179</v>
      </c>
      <c r="J4561" t="s">
        <v>975</v>
      </c>
      <c r="K4561" t="s">
        <v>180</v>
      </c>
      <c r="L4561">
        <v>200109218</v>
      </c>
    </row>
    <row r="4562" spans="3:12">
      <c r="C4562">
        <v>2100300025</v>
      </c>
      <c r="D4562">
        <v>6426000</v>
      </c>
      <c r="E4562" t="s">
        <v>188</v>
      </c>
      <c r="F4562">
        <v>5210010105</v>
      </c>
      <c r="G4562" s="13">
        <v>2840.85</v>
      </c>
      <c r="I4562" t="s">
        <v>179</v>
      </c>
      <c r="J4562" t="s">
        <v>975</v>
      </c>
      <c r="K4562" t="s">
        <v>180</v>
      </c>
      <c r="L4562">
        <v>200109219</v>
      </c>
    </row>
    <row r="4563" spans="3:12">
      <c r="C4563">
        <v>2100300025</v>
      </c>
      <c r="D4563">
        <v>6426000</v>
      </c>
      <c r="E4563" t="s">
        <v>188</v>
      </c>
      <c r="F4563">
        <v>5210010105</v>
      </c>
      <c r="G4563" s="13">
        <v>2568</v>
      </c>
      <c r="I4563" t="s">
        <v>179</v>
      </c>
      <c r="J4563" t="s">
        <v>975</v>
      </c>
      <c r="K4563" t="s">
        <v>180</v>
      </c>
      <c r="L4563">
        <v>200109220</v>
      </c>
    </row>
    <row r="4564" spans="3:12">
      <c r="C4564">
        <v>2100300025</v>
      </c>
      <c r="D4564">
        <v>6426000</v>
      </c>
      <c r="E4564" t="s">
        <v>188</v>
      </c>
      <c r="F4564">
        <v>5210010105</v>
      </c>
      <c r="G4564" s="13">
        <v>24460.2</v>
      </c>
      <c r="I4564" t="s">
        <v>179</v>
      </c>
      <c r="J4564" t="s">
        <v>975</v>
      </c>
      <c r="K4564" t="s">
        <v>180</v>
      </c>
      <c r="L4564">
        <v>200109221</v>
      </c>
    </row>
    <row r="4565" spans="3:12">
      <c r="C4565">
        <v>2100300025</v>
      </c>
      <c r="D4565">
        <v>6426000</v>
      </c>
      <c r="E4565" t="s">
        <v>188</v>
      </c>
      <c r="F4565">
        <v>5210010105</v>
      </c>
      <c r="G4565" s="13">
        <v>7918</v>
      </c>
      <c r="I4565" t="s">
        <v>179</v>
      </c>
      <c r="J4565" t="s">
        <v>975</v>
      </c>
      <c r="K4565" t="s">
        <v>180</v>
      </c>
      <c r="L4565">
        <v>200109222</v>
      </c>
    </row>
    <row r="4566" spans="3:12">
      <c r="C4566">
        <v>2100300025</v>
      </c>
      <c r="D4566">
        <v>6426000</v>
      </c>
      <c r="E4566" t="s">
        <v>188</v>
      </c>
      <c r="F4566">
        <v>5210010105</v>
      </c>
      <c r="G4566" s="13">
        <v>-1840</v>
      </c>
      <c r="I4566" t="s">
        <v>179</v>
      </c>
      <c r="J4566" t="s">
        <v>869</v>
      </c>
      <c r="K4566" t="s">
        <v>180</v>
      </c>
      <c r="L4566">
        <v>200125496</v>
      </c>
    </row>
    <row r="4567" spans="3:12">
      <c r="C4567">
        <v>2100300025</v>
      </c>
      <c r="D4567">
        <v>6426000</v>
      </c>
      <c r="E4567" t="s">
        <v>188</v>
      </c>
      <c r="F4567">
        <v>5210010105</v>
      </c>
      <c r="G4567" s="13">
        <v>-1100</v>
      </c>
      <c r="I4567" t="s">
        <v>179</v>
      </c>
      <c r="J4567" t="s">
        <v>869</v>
      </c>
      <c r="K4567" t="s">
        <v>180</v>
      </c>
      <c r="L4567">
        <v>200126120</v>
      </c>
    </row>
    <row r="4568" spans="3:12">
      <c r="C4568">
        <v>2100300025</v>
      </c>
      <c r="D4568">
        <v>6426000</v>
      </c>
      <c r="E4568" t="s">
        <v>188</v>
      </c>
      <c r="F4568">
        <v>5210010105</v>
      </c>
      <c r="G4568">
        <v>-700</v>
      </c>
      <c r="I4568" t="s">
        <v>179</v>
      </c>
      <c r="J4568" t="s">
        <v>869</v>
      </c>
      <c r="K4568" t="s">
        <v>180</v>
      </c>
      <c r="L4568">
        <v>200126121</v>
      </c>
    </row>
    <row r="4569" spans="3:12">
      <c r="C4569">
        <v>2100300025</v>
      </c>
      <c r="D4569">
        <v>6426000</v>
      </c>
      <c r="E4569" t="s">
        <v>188</v>
      </c>
      <c r="F4569">
        <v>5210010105</v>
      </c>
      <c r="G4569" s="13">
        <v>-1500</v>
      </c>
      <c r="I4569" t="s">
        <v>179</v>
      </c>
      <c r="J4569" t="s">
        <v>869</v>
      </c>
      <c r="K4569" t="s">
        <v>180</v>
      </c>
      <c r="L4569">
        <v>200126122</v>
      </c>
    </row>
    <row r="4570" spans="3:12">
      <c r="C4570">
        <v>2100300025</v>
      </c>
      <c r="D4570">
        <v>6426000</v>
      </c>
      <c r="E4570" t="s">
        <v>188</v>
      </c>
      <c r="F4570">
        <v>5210010105</v>
      </c>
      <c r="G4570" s="13">
        <v>9450</v>
      </c>
      <c r="I4570" t="s">
        <v>179</v>
      </c>
      <c r="J4570" t="s">
        <v>979</v>
      </c>
      <c r="K4570" t="s">
        <v>180</v>
      </c>
      <c r="L4570">
        <v>200116987</v>
      </c>
    </row>
    <row r="4571" spans="3:12">
      <c r="C4571">
        <v>2100300025</v>
      </c>
      <c r="D4571">
        <v>6426000</v>
      </c>
      <c r="E4571" t="s">
        <v>188</v>
      </c>
      <c r="F4571">
        <v>5210010105</v>
      </c>
      <c r="G4571" s="13">
        <v>10465</v>
      </c>
      <c r="I4571" t="s">
        <v>179</v>
      </c>
      <c r="J4571" t="s">
        <v>979</v>
      </c>
      <c r="K4571" t="s">
        <v>180</v>
      </c>
      <c r="L4571">
        <v>200117309</v>
      </c>
    </row>
    <row r="4572" spans="3:12">
      <c r="C4572">
        <v>2100300025</v>
      </c>
      <c r="D4572">
        <v>6426000</v>
      </c>
      <c r="E4572" t="s">
        <v>188</v>
      </c>
      <c r="F4572">
        <v>5210010105</v>
      </c>
      <c r="G4572" s="13">
        <v>88703</v>
      </c>
      <c r="I4572" t="s">
        <v>179</v>
      </c>
      <c r="J4572" t="s">
        <v>980</v>
      </c>
      <c r="K4572" t="s">
        <v>180</v>
      </c>
      <c r="L4572">
        <v>200120673</v>
      </c>
    </row>
    <row r="4573" spans="3:12">
      <c r="C4573">
        <v>2100300025</v>
      </c>
      <c r="D4573">
        <v>6426000</v>
      </c>
      <c r="E4573" t="s">
        <v>188</v>
      </c>
      <c r="F4573">
        <v>5210010105</v>
      </c>
      <c r="G4573" s="13">
        <v>439984</v>
      </c>
      <c r="I4573" t="s">
        <v>179</v>
      </c>
      <c r="J4573" t="s">
        <v>980</v>
      </c>
      <c r="K4573" t="s">
        <v>180</v>
      </c>
      <c r="L4573">
        <v>200120709</v>
      </c>
    </row>
    <row r="4574" spans="3:12">
      <c r="C4574">
        <v>2100300025</v>
      </c>
      <c r="D4574">
        <v>6426000</v>
      </c>
      <c r="E4574" t="s">
        <v>188</v>
      </c>
      <c r="F4574">
        <v>5210010105</v>
      </c>
      <c r="G4574" s="13">
        <v>12000</v>
      </c>
      <c r="I4574" t="s">
        <v>179</v>
      </c>
      <c r="J4574" t="s">
        <v>980</v>
      </c>
      <c r="K4574" t="s">
        <v>180</v>
      </c>
      <c r="L4574">
        <v>200120548</v>
      </c>
    </row>
    <row r="4575" spans="3:12">
      <c r="C4575">
        <v>2100300025</v>
      </c>
      <c r="D4575">
        <v>6426000</v>
      </c>
      <c r="E4575" t="s">
        <v>188</v>
      </c>
      <c r="F4575">
        <v>5210010105</v>
      </c>
      <c r="G4575" s="13">
        <v>18500</v>
      </c>
      <c r="I4575" t="s">
        <v>179</v>
      </c>
      <c r="J4575" t="s">
        <v>980</v>
      </c>
      <c r="K4575" t="s">
        <v>180</v>
      </c>
      <c r="L4575">
        <v>200120549</v>
      </c>
    </row>
    <row r="4576" spans="3:12">
      <c r="C4576">
        <v>2100300025</v>
      </c>
      <c r="D4576">
        <v>6426000</v>
      </c>
      <c r="E4576" t="s">
        <v>188</v>
      </c>
      <c r="F4576">
        <v>5210010105</v>
      </c>
      <c r="G4576" s="13">
        <v>210000</v>
      </c>
      <c r="I4576" t="s">
        <v>179</v>
      </c>
      <c r="J4576" t="s">
        <v>980</v>
      </c>
      <c r="K4576" t="s">
        <v>180</v>
      </c>
      <c r="L4576">
        <v>200119591</v>
      </c>
    </row>
    <row r="4577" spans="3:12">
      <c r="C4577">
        <v>2100300025</v>
      </c>
      <c r="D4577">
        <v>6426000</v>
      </c>
      <c r="E4577" t="s">
        <v>188</v>
      </c>
      <c r="F4577">
        <v>5210010105</v>
      </c>
      <c r="G4577" s="13">
        <v>10000</v>
      </c>
      <c r="I4577" t="s">
        <v>179</v>
      </c>
      <c r="J4577" t="s">
        <v>980</v>
      </c>
      <c r="K4577" t="s">
        <v>180</v>
      </c>
      <c r="L4577">
        <v>200119592</v>
      </c>
    </row>
    <row r="4578" spans="3:12">
      <c r="C4578">
        <v>2100300025</v>
      </c>
      <c r="D4578">
        <v>6426000</v>
      </c>
      <c r="E4578" t="s">
        <v>188</v>
      </c>
      <c r="F4578">
        <v>5210010105</v>
      </c>
      <c r="G4578" s="13">
        <v>33000</v>
      </c>
      <c r="I4578" t="s">
        <v>179</v>
      </c>
      <c r="J4578" t="s">
        <v>980</v>
      </c>
      <c r="K4578" t="s">
        <v>180</v>
      </c>
      <c r="L4578">
        <v>200119593</v>
      </c>
    </row>
    <row r="4579" spans="3:12">
      <c r="C4579">
        <v>2100300025</v>
      </c>
      <c r="D4579">
        <v>6426000</v>
      </c>
      <c r="E4579" t="s">
        <v>188</v>
      </c>
      <c r="F4579">
        <v>5210010105</v>
      </c>
      <c r="G4579" s="13">
        <v>23500</v>
      </c>
      <c r="I4579" t="s">
        <v>179</v>
      </c>
      <c r="J4579" t="s">
        <v>980</v>
      </c>
      <c r="K4579" t="s">
        <v>180</v>
      </c>
      <c r="L4579">
        <v>200119594</v>
      </c>
    </row>
    <row r="4580" spans="3:12">
      <c r="C4580">
        <v>2100300025</v>
      </c>
      <c r="D4580">
        <v>6426000</v>
      </c>
      <c r="E4580" t="s">
        <v>188</v>
      </c>
      <c r="F4580">
        <v>5210010105</v>
      </c>
      <c r="G4580" s="13">
        <v>119999.43</v>
      </c>
      <c r="I4580" t="s">
        <v>179</v>
      </c>
      <c r="J4580" t="s">
        <v>980</v>
      </c>
      <c r="K4580" t="s">
        <v>180</v>
      </c>
      <c r="L4580">
        <v>200119595</v>
      </c>
    </row>
    <row r="4581" spans="3:12">
      <c r="C4581">
        <v>2100300025</v>
      </c>
      <c r="D4581">
        <v>6426000</v>
      </c>
      <c r="E4581" t="s">
        <v>188</v>
      </c>
      <c r="F4581">
        <v>5210010105</v>
      </c>
      <c r="G4581" s="13">
        <v>450000</v>
      </c>
      <c r="I4581" t="s">
        <v>179</v>
      </c>
      <c r="J4581" t="s">
        <v>980</v>
      </c>
      <c r="K4581" t="s">
        <v>180</v>
      </c>
      <c r="L4581">
        <v>200120550</v>
      </c>
    </row>
    <row r="4582" spans="3:12">
      <c r="C4582">
        <v>2100300025</v>
      </c>
      <c r="D4582">
        <v>6426000</v>
      </c>
      <c r="E4582" t="s">
        <v>188</v>
      </c>
      <c r="F4582">
        <v>5210010105</v>
      </c>
      <c r="G4582" s="13">
        <v>238180</v>
      </c>
      <c r="I4582" t="s">
        <v>179</v>
      </c>
      <c r="J4582" t="s">
        <v>980</v>
      </c>
      <c r="K4582" t="s">
        <v>180</v>
      </c>
      <c r="L4582">
        <v>200120551</v>
      </c>
    </row>
    <row r="4583" spans="3:12">
      <c r="C4583">
        <v>2100300025</v>
      </c>
      <c r="D4583">
        <v>6426000</v>
      </c>
      <c r="E4583" t="s">
        <v>188</v>
      </c>
      <c r="F4583">
        <v>5210010105</v>
      </c>
      <c r="G4583" s="13">
        <v>16050</v>
      </c>
      <c r="I4583" t="s">
        <v>179</v>
      </c>
      <c r="J4583" t="s">
        <v>980</v>
      </c>
      <c r="K4583" t="s">
        <v>180</v>
      </c>
      <c r="L4583">
        <v>200120475</v>
      </c>
    </row>
    <row r="4584" spans="3:12">
      <c r="C4584">
        <v>2100300025</v>
      </c>
      <c r="D4584">
        <v>6426000</v>
      </c>
      <c r="E4584" t="s">
        <v>188</v>
      </c>
      <c r="F4584">
        <v>5210010105</v>
      </c>
      <c r="G4584" s="13">
        <v>14300</v>
      </c>
      <c r="I4584" t="s">
        <v>179</v>
      </c>
      <c r="J4584" t="s">
        <v>980</v>
      </c>
      <c r="K4584" t="s">
        <v>180</v>
      </c>
      <c r="L4584">
        <v>200120476</v>
      </c>
    </row>
    <row r="4585" spans="3:12">
      <c r="C4585">
        <v>2100300025</v>
      </c>
      <c r="D4585">
        <v>6426000</v>
      </c>
      <c r="E4585" t="s">
        <v>188</v>
      </c>
      <c r="F4585">
        <v>5210010105</v>
      </c>
      <c r="G4585" s="13">
        <v>6250</v>
      </c>
      <c r="I4585" t="s">
        <v>179</v>
      </c>
      <c r="J4585" t="s">
        <v>980</v>
      </c>
      <c r="K4585" t="s">
        <v>180</v>
      </c>
      <c r="L4585">
        <v>200119596</v>
      </c>
    </row>
    <row r="4586" spans="3:12">
      <c r="C4586">
        <v>2100300025</v>
      </c>
      <c r="D4586">
        <v>6426000</v>
      </c>
      <c r="E4586" t="s">
        <v>188</v>
      </c>
      <c r="F4586">
        <v>5210010105</v>
      </c>
      <c r="G4586" s="13">
        <v>29007.7</v>
      </c>
      <c r="I4586" t="s">
        <v>179</v>
      </c>
      <c r="J4586" t="s">
        <v>979</v>
      </c>
      <c r="K4586" t="s">
        <v>180</v>
      </c>
      <c r="L4586">
        <v>200113796</v>
      </c>
    </row>
    <row r="4587" spans="3:12">
      <c r="C4587">
        <v>2100300025</v>
      </c>
      <c r="D4587">
        <v>6426000</v>
      </c>
      <c r="E4587" t="s">
        <v>188</v>
      </c>
      <c r="F4587">
        <v>5210010105</v>
      </c>
      <c r="G4587" s="13">
        <v>10400</v>
      </c>
      <c r="I4587" t="s">
        <v>179</v>
      </c>
      <c r="J4587" t="s">
        <v>979</v>
      </c>
      <c r="K4587" t="s">
        <v>180</v>
      </c>
      <c r="L4587">
        <v>200113797</v>
      </c>
    </row>
    <row r="4588" spans="3:12">
      <c r="C4588">
        <v>2100300025</v>
      </c>
      <c r="D4588">
        <v>6426000</v>
      </c>
      <c r="E4588" t="s">
        <v>188</v>
      </c>
      <c r="F4588">
        <v>5210010105</v>
      </c>
      <c r="G4588" s="13">
        <v>18750</v>
      </c>
      <c r="I4588" t="s">
        <v>179</v>
      </c>
      <c r="J4588" t="s">
        <v>979</v>
      </c>
      <c r="K4588" t="s">
        <v>180</v>
      </c>
      <c r="L4588">
        <v>200113798</v>
      </c>
    </row>
    <row r="4589" spans="3:12">
      <c r="C4589">
        <v>2100300025</v>
      </c>
      <c r="D4589">
        <v>6426000</v>
      </c>
      <c r="E4589" t="s">
        <v>188</v>
      </c>
      <c r="F4589">
        <v>5210010105</v>
      </c>
      <c r="G4589" s="13">
        <v>4000</v>
      </c>
      <c r="I4589" t="s">
        <v>179</v>
      </c>
      <c r="J4589" t="s">
        <v>979</v>
      </c>
      <c r="K4589" t="s">
        <v>180</v>
      </c>
      <c r="L4589">
        <v>200116982</v>
      </c>
    </row>
    <row r="4590" spans="3:12">
      <c r="C4590">
        <v>2100300025</v>
      </c>
      <c r="D4590">
        <v>6426000</v>
      </c>
      <c r="E4590" t="s">
        <v>188</v>
      </c>
      <c r="F4590">
        <v>5210010105</v>
      </c>
      <c r="G4590" s="13">
        <v>2487.75</v>
      </c>
      <c r="I4590" t="s">
        <v>179</v>
      </c>
      <c r="J4590" t="s">
        <v>862</v>
      </c>
      <c r="K4590" t="s">
        <v>180</v>
      </c>
      <c r="L4590">
        <v>200106456</v>
      </c>
    </row>
    <row r="4591" spans="3:12">
      <c r="C4591">
        <v>2100300025</v>
      </c>
      <c r="D4591">
        <v>6426000</v>
      </c>
      <c r="E4591" t="s">
        <v>188</v>
      </c>
      <c r="F4591">
        <v>5210010105</v>
      </c>
      <c r="G4591" s="13">
        <v>2008.39</v>
      </c>
      <c r="I4591" t="s">
        <v>179</v>
      </c>
      <c r="J4591" t="s">
        <v>862</v>
      </c>
      <c r="K4591" t="s">
        <v>180</v>
      </c>
      <c r="L4591">
        <v>200112386</v>
      </c>
    </row>
    <row r="4592" spans="3:12">
      <c r="C4592">
        <v>2100300025</v>
      </c>
      <c r="D4592">
        <v>6426000</v>
      </c>
      <c r="E4592" t="s">
        <v>188</v>
      </c>
      <c r="F4592">
        <v>5210010105</v>
      </c>
      <c r="G4592" s="13">
        <v>4260</v>
      </c>
      <c r="I4592" t="s">
        <v>179</v>
      </c>
      <c r="J4592" t="s">
        <v>862</v>
      </c>
      <c r="K4592" t="s">
        <v>180</v>
      </c>
      <c r="L4592">
        <v>200112391</v>
      </c>
    </row>
    <row r="4593" spans="3:12">
      <c r="C4593">
        <v>2100300025</v>
      </c>
      <c r="D4593">
        <v>6426000</v>
      </c>
      <c r="E4593" t="s">
        <v>188</v>
      </c>
      <c r="F4593">
        <v>5210010105</v>
      </c>
      <c r="G4593" s="13">
        <v>95100</v>
      </c>
      <c r="I4593" t="s">
        <v>179</v>
      </c>
      <c r="J4593" t="s">
        <v>862</v>
      </c>
      <c r="K4593" t="s">
        <v>180</v>
      </c>
      <c r="L4593">
        <v>200110500</v>
      </c>
    </row>
    <row r="4594" spans="3:12">
      <c r="C4594">
        <v>2100300025</v>
      </c>
      <c r="D4594">
        <v>6426000</v>
      </c>
      <c r="E4594" t="s">
        <v>188</v>
      </c>
      <c r="F4594">
        <v>5210010105</v>
      </c>
      <c r="G4594">
        <v>558.54</v>
      </c>
      <c r="I4594" t="s">
        <v>179</v>
      </c>
      <c r="J4594" t="s">
        <v>862</v>
      </c>
      <c r="K4594" t="s">
        <v>180</v>
      </c>
      <c r="L4594">
        <v>200110824</v>
      </c>
    </row>
    <row r="4595" spans="3:12">
      <c r="C4595">
        <v>2100300025</v>
      </c>
      <c r="D4595">
        <v>6426000</v>
      </c>
      <c r="E4595" t="s">
        <v>188</v>
      </c>
      <c r="F4595">
        <v>5210010105</v>
      </c>
      <c r="G4595">
        <v>577.79999999999995</v>
      </c>
      <c r="I4595" t="s">
        <v>179</v>
      </c>
      <c r="J4595" t="s">
        <v>862</v>
      </c>
      <c r="K4595" t="s">
        <v>180</v>
      </c>
      <c r="L4595">
        <v>200110825</v>
      </c>
    </row>
    <row r="4596" spans="3:12">
      <c r="C4596">
        <v>2100300025</v>
      </c>
      <c r="D4596">
        <v>6426000</v>
      </c>
      <c r="E4596" t="s">
        <v>188</v>
      </c>
      <c r="F4596">
        <v>5210010105</v>
      </c>
      <c r="G4596" s="13">
        <v>23090.6</v>
      </c>
      <c r="I4596" t="s">
        <v>179</v>
      </c>
      <c r="J4596" t="s">
        <v>862</v>
      </c>
      <c r="K4596" t="s">
        <v>180</v>
      </c>
      <c r="L4596">
        <v>200110826</v>
      </c>
    </row>
    <row r="4597" spans="3:12">
      <c r="C4597">
        <v>2100300025</v>
      </c>
      <c r="D4597">
        <v>6426000</v>
      </c>
      <c r="E4597" t="s">
        <v>188</v>
      </c>
      <c r="F4597">
        <v>5210010105</v>
      </c>
      <c r="G4597" s="13">
        <v>6420</v>
      </c>
      <c r="I4597" t="s">
        <v>179</v>
      </c>
      <c r="J4597" t="s">
        <v>862</v>
      </c>
      <c r="K4597" t="s">
        <v>180</v>
      </c>
      <c r="L4597">
        <v>200102840</v>
      </c>
    </row>
    <row r="4598" spans="3:12">
      <c r="C4598">
        <v>2100300025</v>
      </c>
      <c r="D4598">
        <v>6426000</v>
      </c>
      <c r="E4598" t="s">
        <v>188</v>
      </c>
      <c r="F4598">
        <v>5210010105</v>
      </c>
      <c r="G4598" s="13">
        <v>5500</v>
      </c>
      <c r="I4598" t="s">
        <v>179</v>
      </c>
      <c r="J4598" t="s">
        <v>862</v>
      </c>
      <c r="K4598" t="s">
        <v>180</v>
      </c>
      <c r="L4598">
        <v>200112525</v>
      </c>
    </row>
    <row r="4599" spans="3:12">
      <c r="C4599">
        <v>2100300025</v>
      </c>
      <c r="D4599">
        <v>6426000</v>
      </c>
      <c r="E4599" t="s">
        <v>188</v>
      </c>
      <c r="F4599">
        <v>5210010105</v>
      </c>
      <c r="G4599" s="13">
        <v>14792.75</v>
      </c>
      <c r="I4599" t="s">
        <v>179</v>
      </c>
      <c r="J4599" t="s">
        <v>862</v>
      </c>
      <c r="K4599" t="s">
        <v>180</v>
      </c>
      <c r="L4599">
        <v>200058963</v>
      </c>
    </row>
    <row r="4600" spans="3:12">
      <c r="C4600">
        <v>2100300025</v>
      </c>
      <c r="D4600">
        <v>6426000</v>
      </c>
      <c r="E4600" t="s">
        <v>188</v>
      </c>
      <c r="F4600">
        <v>5210010105</v>
      </c>
      <c r="G4600" s="13">
        <v>10375.200000000001</v>
      </c>
      <c r="I4600" t="s">
        <v>179</v>
      </c>
      <c r="J4600" t="s">
        <v>862</v>
      </c>
      <c r="K4600" t="s">
        <v>180</v>
      </c>
      <c r="L4600">
        <v>200112526</v>
      </c>
    </row>
    <row r="4601" spans="3:12">
      <c r="C4601">
        <v>2100300025</v>
      </c>
      <c r="D4601">
        <v>6426000</v>
      </c>
      <c r="E4601" t="s">
        <v>188</v>
      </c>
      <c r="F4601">
        <v>5210010105</v>
      </c>
      <c r="G4601" s="13">
        <v>8000</v>
      </c>
      <c r="I4601" t="s">
        <v>179</v>
      </c>
      <c r="J4601" t="s">
        <v>862</v>
      </c>
      <c r="K4601" t="s">
        <v>180</v>
      </c>
      <c r="L4601">
        <v>200101897</v>
      </c>
    </row>
    <row r="4602" spans="3:12">
      <c r="C4602">
        <v>2100300025</v>
      </c>
      <c r="D4602">
        <v>6426000</v>
      </c>
      <c r="E4602" t="s">
        <v>188</v>
      </c>
      <c r="F4602">
        <v>5210010105</v>
      </c>
      <c r="G4602" s="13">
        <v>5339</v>
      </c>
      <c r="I4602" t="s">
        <v>179</v>
      </c>
      <c r="J4602" t="s">
        <v>862</v>
      </c>
      <c r="K4602" t="s">
        <v>180</v>
      </c>
      <c r="L4602">
        <v>200102841</v>
      </c>
    </row>
    <row r="4603" spans="3:12">
      <c r="C4603">
        <v>2100300025</v>
      </c>
      <c r="D4603">
        <v>6426000</v>
      </c>
      <c r="E4603" t="s">
        <v>188</v>
      </c>
      <c r="F4603">
        <v>5210010105</v>
      </c>
      <c r="G4603" s="13">
        <v>45000</v>
      </c>
      <c r="I4603" t="s">
        <v>179</v>
      </c>
      <c r="J4603" t="s">
        <v>862</v>
      </c>
      <c r="K4603" t="s">
        <v>180</v>
      </c>
      <c r="L4603">
        <v>200058964</v>
      </c>
    </row>
    <row r="4604" spans="3:12">
      <c r="C4604">
        <v>2100300025</v>
      </c>
      <c r="D4604">
        <v>6426000</v>
      </c>
      <c r="E4604" t="s">
        <v>188</v>
      </c>
      <c r="F4604">
        <v>5210010105</v>
      </c>
      <c r="G4604" s="13">
        <v>12305</v>
      </c>
      <c r="I4604" t="s">
        <v>179</v>
      </c>
      <c r="J4604" t="s">
        <v>862</v>
      </c>
      <c r="K4604" t="s">
        <v>180</v>
      </c>
      <c r="L4604">
        <v>200111649</v>
      </c>
    </row>
    <row r="4605" spans="3:12">
      <c r="C4605">
        <v>2100300025</v>
      </c>
      <c r="D4605">
        <v>6426000</v>
      </c>
      <c r="E4605" t="s">
        <v>188</v>
      </c>
      <c r="F4605">
        <v>5210010105</v>
      </c>
      <c r="G4605" s="13">
        <v>60446</v>
      </c>
      <c r="I4605" t="s">
        <v>179</v>
      </c>
      <c r="J4605" t="s">
        <v>862</v>
      </c>
      <c r="K4605" t="s">
        <v>180</v>
      </c>
      <c r="L4605">
        <v>200112528</v>
      </c>
    </row>
    <row r="4606" spans="3:12">
      <c r="C4606">
        <v>2100300025</v>
      </c>
      <c r="D4606">
        <v>6426000</v>
      </c>
      <c r="E4606" t="s">
        <v>188</v>
      </c>
      <c r="F4606">
        <v>5210010105</v>
      </c>
      <c r="G4606" s="13">
        <v>223630</v>
      </c>
      <c r="I4606" t="s">
        <v>179</v>
      </c>
      <c r="J4606" t="s">
        <v>978</v>
      </c>
      <c r="K4606" t="s">
        <v>180</v>
      </c>
      <c r="L4606">
        <v>200124957</v>
      </c>
    </row>
    <row r="4607" spans="3:12">
      <c r="C4607">
        <v>2100300025</v>
      </c>
      <c r="D4607">
        <v>6426000</v>
      </c>
      <c r="E4607" t="s">
        <v>188</v>
      </c>
      <c r="F4607">
        <v>5210010105</v>
      </c>
      <c r="G4607" s="13">
        <v>100000</v>
      </c>
      <c r="I4607" t="s">
        <v>179</v>
      </c>
      <c r="J4607" t="s">
        <v>978</v>
      </c>
      <c r="K4607" t="s">
        <v>180</v>
      </c>
      <c r="L4607">
        <v>200124673</v>
      </c>
    </row>
    <row r="4608" spans="3:12">
      <c r="C4608">
        <v>2100300025</v>
      </c>
      <c r="D4608">
        <v>6426000</v>
      </c>
      <c r="E4608" t="s">
        <v>188</v>
      </c>
      <c r="F4608">
        <v>5210010105</v>
      </c>
      <c r="G4608" s="13">
        <v>2300</v>
      </c>
      <c r="I4608" t="s">
        <v>179</v>
      </c>
      <c r="J4608" t="s">
        <v>978</v>
      </c>
      <c r="K4608" t="s">
        <v>180</v>
      </c>
      <c r="L4608">
        <v>200124979</v>
      </c>
    </row>
    <row r="4609" spans="3:12">
      <c r="C4609">
        <v>2100300025</v>
      </c>
      <c r="D4609">
        <v>6426000</v>
      </c>
      <c r="E4609" t="s">
        <v>188</v>
      </c>
      <c r="F4609">
        <v>5210010105</v>
      </c>
      <c r="G4609" s="13">
        <v>15000</v>
      </c>
      <c r="I4609" t="s">
        <v>179</v>
      </c>
      <c r="J4609" t="s">
        <v>862</v>
      </c>
      <c r="K4609" t="s">
        <v>180</v>
      </c>
      <c r="L4609">
        <v>200106448</v>
      </c>
    </row>
    <row r="4610" spans="3:12">
      <c r="C4610">
        <v>2100300025</v>
      </c>
      <c r="D4610">
        <v>6426000</v>
      </c>
      <c r="E4610" t="s">
        <v>188</v>
      </c>
      <c r="F4610">
        <v>5210010105</v>
      </c>
      <c r="G4610">
        <v>950</v>
      </c>
      <c r="I4610" t="s">
        <v>179</v>
      </c>
      <c r="J4610" t="s">
        <v>862</v>
      </c>
      <c r="K4610" t="s">
        <v>180</v>
      </c>
      <c r="L4610">
        <v>200112608</v>
      </c>
    </row>
    <row r="4611" spans="3:12">
      <c r="C4611">
        <v>2100300025</v>
      </c>
      <c r="D4611">
        <v>6426000</v>
      </c>
      <c r="E4611" t="s">
        <v>188</v>
      </c>
      <c r="F4611">
        <v>5210010105</v>
      </c>
      <c r="G4611" s="13">
        <v>18000</v>
      </c>
      <c r="I4611" t="s">
        <v>179</v>
      </c>
      <c r="J4611" t="s">
        <v>981</v>
      </c>
      <c r="K4611" t="s">
        <v>180</v>
      </c>
      <c r="L4611">
        <v>200115512</v>
      </c>
    </row>
    <row r="4612" spans="3:12">
      <c r="C4612">
        <v>2100300025</v>
      </c>
      <c r="D4612">
        <v>6426000</v>
      </c>
      <c r="E4612" t="s">
        <v>188</v>
      </c>
      <c r="F4612">
        <v>5210010105</v>
      </c>
      <c r="G4612" s="13">
        <v>13200</v>
      </c>
      <c r="I4612" t="s">
        <v>179</v>
      </c>
      <c r="J4612" t="s">
        <v>981</v>
      </c>
      <c r="K4612" t="s">
        <v>180</v>
      </c>
      <c r="L4612">
        <v>200112958</v>
      </c>
    </row>
    <row r="4613" spans="3:12">
      <c r="C4613">
        <v>2100300025</v>
      </c>
      <c r="D4613">
        <v>6426000</v>
      </c>
      <c r="E4613" t="s">
        <v>188</v>
      </c>
      <c r="F4613">
        <v>5210010105</v>
      </c>
      <c r="G4613" s="13">
        <v>11900</v>
      </c>
      <c r="I4613" t="s">
        <v>179</v>
      </c>
      <c r="J4613" t="s">
        <v>981</v>
      </c>
      <c r="K4613" t="s">
        <v>180</v>
      </c>
      <c r="L4613">
        <v>200115514</v>
      </c>
    </row>
    <row r="4614" spans="3:12">
      <c r="C4614">
        <v>2100300025</v>
      </c>
      <c r="D4614">
        <v>6426000</v>
      </c>
      <c r="E4614" t="s">
        <v>188</v>
      </c>
      <c r="F4614">
        <v>5210010105</v>
      </c>
      <c r="G4614" s="13">
        <v>3400</v>
      </c>
      <c r="I4614" t="s">
        <v>179</v>
      </c>
      <c r="J4614" t="s">
        <v>981</v>
      </c>
      <c r="K4614" t="s">
        <v>180</v>
      </c>
      <c r="L4614">
        <v>200114541</v>
      </c>
    </row>
    <row r="4615" spans="3:12">
      <c r="C4615">
        <v>2100300025</v>
      </c>
      <c r="D4615">
        <v>6426000</v>
      </c>
      <c r="E4615" t="s">
        <v>188</v>
      </c>
      <c r="F4615">
        <v>5210010105</v>
      </c>
      <c r="G4615" s="13">
        <v>6100</v>
      </c>
      <c r="I4615" t="s">
        <v>179</v>
      </c>
      <c r="J4615" t="s">
        <v>982</v>
      </c>
      <c r="K4615" t="s">
        <v>180</v>
      </c>
      <c r="L4615">
        <v>200119832</v>
      </c>
    </row>
    <row r="4616" spans="3:12">
      <c r="C4616">
        <v>2100300025</v>
      </c>
      <c r="D4616">
        <v>6426000</v>
      </c>
      <c r="E4616" t="s">
        <v>188</v>
      </c>
      <c r="F4616">
        <v>5210010105</v>
      </c>
      <c r="G4616" s="13">
        <v>4173</v>
      </c>
      <c r="I4616" t="s">
        <v>179</v>
      </c>
      <c r="J4616" t="s">
        <v>982</v>
      </c>
      <c r="K4616" t="s">
        <v>180</v>
      </c>
      <c r="L4616">
        <v>200118086</v>
      </c>
    </row>
    <row r="4617" spans="3:12">
      <c r="C4617">
        <v>2100300025</v>
      </c>
      <c r="D4617">
        <v>6426000</v>
      </c>
      <c r="E4617" t="s">
        <v>188</v>
      </c>
      <c r="F4617">
        <v>5210010105</v>
      </c>
      <c r="G4617" s="13">
        <v>36915</v>
      </c>
      <c r="I4617" t="s">
        <v>179</v>
      </c>
      <c r="J4617" t="s">
        <v>557</v>
      </c>
      <c r="K4617" t="s">
        <v>180</v>
      </c>
      <c r="L4617">
        <v>200112582</v>
      </c>
    </row>
    <row r="4618" spans="3:12">
      <c r="C4618">
        <v>2100300025</v>
      </c>
      <c r="D4618">
        <v>6426000</v>
      </c>
      <c r="E4618" t="s">
        <v>188</v>
      </c>
      <c r="F4618">
        <v>5210010105</v>
      </c>
      <c r="G4618" s="13">
        <v>51231.6</v>
      </c>
      <c r="I4618" t="s">
        <v>179</v>
      </c>
      <c r="J4618" t="s">
        <v>557</v>
      </c>
      <c r="K4618" t="s">
        <v>180</v>
      </c>
      <c r="L4618">
        <v>200114182</v>
      </c>
    </row>
    <row r="4619" spans="3:12">
      <c r="C4619">
        <v>2100300025</v>
      </c>
      <c r="D4619">
        <v>6426000</v>
      </c>
      <c r="E4619" t="s">
        <v>188</v>
      </c>
      <c r="F4619">
        <v>5210010105</v>
      </c>
      <c r="G4619" s="13">
        <v>6741</v>
      </c>
      <c r="I4619" t="s">
        <v>179</v>
      </c>
      <c r="J4619" t="s">
        <v>557</v>
      </c>
      <c r="K4619" t="s">
        <v>180</v>
      </c>
      <c r="L4619">
        <v>200114183</v>
      </c>
    </row>
    <row r="4620" spans="3:12">
      <c r="C4620">
        <v>2100300025</v>
      </c>
      <c r="D4620">
        <v>6426000</v>
      </c>
      <c r="E4620" t="s">
        <v>188</v>
      </c>
      <c r="F4620">
        <v>5210010105</v>
      </c>
      <c r="G4620" s="13">
        <v>27413.4</v>
      </c>
      <c r="I4620" t="s">
        <v>179</v>
      </c>
      <c r="J4620" t="s">
        <v>557</v>
      </c>
      <c r="K4620" t="s">
        <v>180</v>
      </c>
      <c r="L4620">
        <v>200110856</v>
      </c>
    </row>
    <row r="4621" spans="3:12">
      <c r="C4621">
        <v>2100300025</v>
      </c>
      <c r="D4621">
        <v>6426000</v>
      </c>
      <c r="E4621" t="s">
        <v>188</v>
      </c>
      <c r="F4621">
        <v>5210010105</v>
      </c>
      <c r="G4621" s="13">
        <v>9902.85</v>
      </c>
      <c r="I4621" t="s">
        <v>179</v>
      </c>
      <c r="J4621" t="s">
        <v>557</v>
      </c>
      <c r="K4621" t="s">
        <v>180</v>
      </c>
      <c r="L4621">
        <v>200110857</v>
      </c>
    </row>
    <row r="4622" spans="3:12">
      <c r="C4622">
        <v>2100300025</v>
      </c>
      <c r="D4622">
        <v>6426000</v>
      </c>
      <c r="E4622" t="s">
        <v>188</v>
      </c>
      <c r="F4622">
        <v>5210010105</v>
      </c>
      <c r="G4622">
        <v>460.1</v>
      </c>
      <c r="I4622" t="s">
        <v>179</v>
      </c>
      <c r="J4622" t="s">
        <v>557</v>
      </c>
      <c r="K4622" t="s">
        <v>180</v>
      </c>
      <c r="L4622">
        <v>200110858</v>
      </c>
    </row>
    <row r="4623" spans="3:12">
      <c r="C4623">
        <v>2100300025</v>
      </c>
      <c r="D4623">
        <v>6426000</v>
      </c>
      <c r="E4623" t="s">
        <v>188</v>
      </c>
      <c r="F4623">
        <v>5210010105</v>
      </c>
      <c r="G4623">
        <v>642</v>
      </c>
      <c r="I4623" t="s">
        <v>179</v>
      </c>
      <c r="J4623" t="s">
        <v>557</v>
      </c>
      <c r="K4623" t="s">
        <v>180</v>
      </c>
      <c r="L4623">
        <v>200110859</v>
      </c>
    </row>
    <row r="4624" spans="3:12">
      <c r="C4624">
        <v>2100300025</v>
      </c>
      <c r="D4624">
        <v>6426000</v>
      </c>
      <c r="E4624" t="s">
        <v>188</v>
      </c>
      <c r="F4624">
        <v>5210010105</v>
      </c>
      <c r="G4624" s="13">
        <v>5350</v>
      </c>
      <c r="I4624" t="s">
        <v>179</v>
      </c>
      <c r="J4624" t="s">
        <v>557</v>
      </c>
      <c r="K4624" t="s">
        <v>180</v>
      </c>
      <c r="L4624">
        <v>200110860</v>
      </c>
    </row>
    <row r="4625" spans="3:12">
      <c r="C4625">
        <v>2100300025</v>
      </c>
      <c r="D4625">
        <v>6426000</v>
      </c>
      <c r="E4625" t="s">
        <v>188</v>
      </c>
      <c r="F4625">
        <v>5210010105</v>
      </c>
      <c r="G4625" s="13">
        <v>2150.6999999999998</v>
      </c>
      <c r="I4625" t="s">
        <v>179</v>
      </c>
      <c r="J4625" t="s">
        <v>557</v>
      </c>
      <c r="K4625" t="s">
        <v>180</v>
      </c>
      <c r="L4625">
        <v>200110861</v>
      </c>
    </row>
    <row r="4626" spans="3:12">
      <c r="C4626">
        <v>2100300025</v>
      </c>
      <c r="D4626">
        <v>6426000</v>
      </c>
      <c r="E4626" t="s">
        <v>188</v>
      </c>
      <c r="F4626">
        <v>5210010105</v>
      </c>
      <c r="G4626">
        <v>909.5</v>
      </c>
      <c r="I4626" t="s">
        <v>179</v>
      </c>
      <c r="J4626" t="s">
        <v>557</v>
      </c>
      <c r="K4626" t="s">
        <v>180</v>
      </c>
      <c r="L4626">
        <v>200110862</v>
      </c>
    </row>
    <row r="4627" spans="3:12">
      <c r="C4627">
        <v>2100300025</v>
      </c>
      <c r="D4627">
        <v>6426000</v>
      </c>
      <c r="E4627" t="s">
        <v>188</v>
      </c>
      <c r="F4627">
        <v>5210010105</v>
      </c>
      <c r="G4627" s="13">
        <v>12000</v>
      </c>
      <c r="I4627" t="s">
        <v>179</v>
      </c>
      <c r="J4627" t="s">
        <v>557</v>
      </c>
      <c r="K4627" t="s">
        <v>180</v>
      </c>
      <c r="L4627">
        <v>200110863</v>
      </c>
    </row>
    <row r="4628" spans="3:12">
      <c r="C4628">
        <v>2100300025</v>
      </c>
      <c r="D4628">
        <v>6426000</v>
      </c>
      <c r="E4628" t="s">
        <v>188</v>
      </c>
      <c r="F4628">
        <v>5210010105</v>
      </c>
      <c r="G4628" s="13">
        <v>4200</v>
      </c>
      <c r="I4628" t="s">
        <v>179</v>
      </c>
      <c r="J4628" t="s">
        <v>557</v>
      </c>
      <c r="K4628" t="s">
        <v>180</v>
      </c>
      <c r="L4628">
        <v>200112588</v>
      </c>
    </row>
    <row r="4629" spans="3:12">
      <c r="C4629">
        <v>2100300025</v>
      </c>
      <c r="D4629">
        <v>6426000</v>
      </c>
      <c r="E4629" t="s">
        <v>188</v>
      </c>
      <c r="F4629">
        <v>5210010105</v>
      </c>
      <c r="G4629" s="13">
        <v>1860</v>
      </c>
      <c r="I4629" t="s">
        <v>179</v>
      </c>
      <c r="J4629" t="s">
        <v>557</v>
      </c>
      <c r="K4629" t="s">
        <v>180</v>
      </c>
      <c r="L4629">
        <v>200112589</v>
      </c>
    </row>
    <row r="4630" spans="3:12">
      <c r="C4630">
        <v>2100300025</v>
      </c>
      <c r="D4630">
        <v>6426000</v>
      </c>
      <c r="E4630" t="s">
        <v>188</v>
      </c>
      <c r="F4630">
        <v>5210010105</v>
      </c>
      <c r="G4630" s="13">
        <v>1450</v>
      </c>
      <c r="I4630" t="s">
        <v>179</v>
      </c>
      <c r="J4630" t="s">
        <v>557</v>
      </c>
      <c r="K4630" t="s">
        <v>180</v>
      </c>
      <c r="L4630">
        <v>200112590</v>
      </c>
    </row>
    <row r="4631" spans="3:12">
      <c r="C4631">
        <v>2100300025</v>
      </c>
      <c r="D4631">
        <v>6426000</v>
      </c>
      <c r="E4631" t="s">
        <v>188</v>
      </c>
      <c r="F4631">
        <v>5210010105</v>
      </c>
      <c r="G4631">
        <v>158</v>
      </c>
      <c r="I4631" t="s">
        <v>179</v>
      </c>
      <c r="J4631" t="s">
        <v>557</v>
      </c>
      <c r="K4631" t="s">
        <v>180</v>
      </c>
      <c r="L4631">
        <v>200112591</v>
      </c>
    </row>
    <row r="4632" spans="3:12">
      <c r="C4632">
        <v>2100300025</v>
      </c>
      <c r="D4632">
        <v>6426000</v>
      </c>
      <c r="E4632" t="s">
        <v>188</v>
      </c>
      <c r="F4632">
        <v>5210010105</v>
      </c>
      <c r="G4632" s="13">
        <v>26322</v>
      </c>
      <c r="I4632" t="s">
        <v>179</v>
      </c>
      <c r="J4632" t="s">
        <v>557</v>
      </c>
      <c r="K4632" t="s">
        <v>180</v>
      </c>
      <c r="L4632">
        <v>200112596</v>
      </c>
    </row>
    <row r="4633" spans="3:12">
      <c r="C4633">
        <v>2100300025</v>
      </c>
      <c r="D4633">
        <v>6426000</v>
      </c>
      <c r="E4633" t="s">
        <v>188</v>
      </c>
      <c r="F4633">
        <v>5210010105</v>
      </c>
      <c r="G4633" s="13">
        <v>32100</v>
      </c>
      <c r="I4633" t="s">
        <v>179</v>
      </c>
      <c r="J4633" t="s">
        <v>557</v>
      </c>
      <c r="K4633" t="s">
        <v>180</v>
      </c>
      <c r="L4633">
        <v>200112597</v>
      </c>
    </row>
    <row r="4634" spans="3:12">
      <c r="C4634">
        <v>2100300025</v>
      </c>
      <c r="D4634">
        <v>6426000</v>
      </c>
      <c r="E4634" t="s">
        <v>188</v>
      </c>
      <c r="F4634">
        <v>5210010105</v>
      </c>
      <c r="G4634" s="13">
        <v>8239</v>
      </c>
      <c r="I4634" t="s">
        <v>179</v>
      </c>
      <c r="J4634" t="s">
        <v>557</v>
      </c>
      <c r="K4634" t="s">
        <v>180</v>
      </c>
      <c r="L4634">
        <v>200112598</v>
      </c>
    </row>
    <row r="4635" spans="3:12">
      <c r="C4635">
        <v>2100300025</v>
      </c>
      <c r="D4635">
        <v>6426000</v>
      </c>
      <c r="E4635" t="s">
        <v>188</v>
      </c>
      <c r="F4635">
        <v>5210010105</v>
      </c>
      <c r="G4635" s="13">
        <v>34154.400000000001</v>
      </c>
      <c r="I4635" t="s">
        <v>179</v>
      </c>
      <c r="J4635" t="s">
        <v>865</v>
      </c>
      <c r="K4635" t="s">
        <v>180</v>
      </c>
      <c r="L4635">
        <v>200058969</v>
      </c>
    </row>
    <row r="4636" spans="3:12">
      <c r="C4636">
        <v>2100300025</v>
      </c>
      <c r="D4636">
        <v>6426000</v>
      </c>
      <c r="E4636" t="s">
        <v>188</v>
      </c>
      <c r="F4636">
        <v>5210010105</v>
      </c>
      <c r="G4636" s="13">
        <v>28000</v>
      </c>
      <c r="I4636" t="s">
        <v>179</v>
      </c>
      <c r="J4636" t="s">
        <v>557</v>
      </c>
      <c r="K4636" t="s">
        <v>180</v>
      </c>
      <c r="L4636">
        <v>200110874</v>
      </c>
    </row>
    <row r="4637" spans="3:12">
      <c r="C4637">
        <v>2100300025</v>
      </c>
      <c r="D4637">
        <v>6426000</v>
      </c>
      <c r="E4637" t="s">
        <v>188</v>
      </c>
      <c r="F4637">
        <v>5210010105</v>
      </c>
      <c r="G4637" s="13">
        <v>21617</v>
      </c>
      <c r="I4637" t="s">
        <v>179</v>
      </c>
      <c r="J4637" t="s">
        <v>557</v>
      </c>
      <c r="K4637" t="s">
        <v>180</v>
      </c>
      <c r="L4637">
        <v>200114199</v>
      </c>
    </row>
    <row r="4638" spans="3:12">
      <c r="C4638">
        <v>2100300025</v>
      </c>
      <c r="D4638">
        <v>6426000</v>
      </c>
      <c r="E4638" t="s">
        <v>188</v>
      </c>
      <c r="F4638">
        <v>5210010105</v>
      </c>
      <c r="G4638" s="13">
        <v>2032.05</v>
      </c>
      <c r="I4638" t="s">
        <v>179</v>
      </c>
      <c r="J4638" t="s">
        <v>557</v>
      </c>
      <c r="K4638" t="s">
        <v>180</v>
      </c>
      <c r="L4638">
        <v>200113131</v>
      </c>
    </row>
    <row r="4639" spans="3:12">
      <c r="C4639">
        <v>2100300025</v>
      </c>
      <c r="D4639">
        <v>6426000</v>
      </c>
      <c r="E4639" t="s">
        <v>188</v>
      </c>
      <c r="F4639">
        <v>5210010105</v>
      </c>
      <c r="G4639">
        <v>749</v>
      </c>
      <c r="I4639" t="s">
        <v>179</v>
      </c>
      <c r="J4639" t="s">
        <v>557</v>
      </c>
      <c r="K4639" t="s">
        <v>180</v>
      </c>
      <c r="L4639">
        <v>200112599</v>
      </c>
    </row>
    <row r="4640" spans="3:12">
      <c r="C4640">
        <v>2100300025</v>
      </c>
      <c r="D4640">
        <v>6426000</v>
      </c>
      <c r="E4640" t="s">
        <v>188</v>
      </c>
      <c r="F4640">
        <v>5210010105</v>
      </c>
      <c r="G4640">
        <v>481.5</v>
      </c>
      <c r="I4640" t="s">
        <v>179</v>
      </c>
      <c r="J4640" t="s">
        <v>557</v>
      </c>
      <c r="K4640" t="s">
        <v>180</v>
      </c>
      <c r="L4640">
        <v>200112600</v>
      </c>
    </row>
    <row r="4641" spans="3:12">
      <c r="C4641">
        <v>2100300025</v>
      </c>
      <c r="D4641">
        <v>6426000</v>
      </c>
      <c r="E4641" t="s">
        <v>188</v>
      </c>
      <c r="F4641">
        <v>5210010105</v>
      </c>
      <c r="G4641">
        <v>214</v>
      </c>
      <c r="I4641" t="s">
        <v>179</v>
      </c>
      <c r="J4641" t="s">
        <v>557</v>
      </c>
      <c r="K4641" t="s">
        <v>180</v>
      </c>
      <c r="L4641">
        <v>200115101</v>
      </c>
    </row>
    <row r="4642" spans="3:12">
      <c r="C4642">
        <v>2100300025</v>
      </c>
      <c r="D4642">
        <v>6426000</v>
      </c>
      <c r="E4642" t="s">
        <v>188</v>
      </c>
      <c r="F4642">
        <v>5210010105</v>
      </c>
      <c r="G4642" s="13">
        <v>11235</v>
      </c>
      <c r="I4642" t="s">
        <v>179</v>
      </c>
      <c r="J4642" t="s">
        <v>865</v>
      </c>
      <c r="K4642" t="s">
        <v>180</v>
      </c>
      <c r="L4642">
        <v>200058968</v>
      </c>
    </row>
    <row r="4643" spans="3:12">
      <c r="C4643">
        <v>2100300025</v>
      </c>
      <c r="D4643">
        <v>6426000</v>
      </c>
      <c r="E4643" t="s">
        <v>188</v>
      </c>
      <c r="F4643">
        <v>5210010105</v>
      </c>
      <c r="G4643" s="13">
        <v>29604</v>
      </c>
      <c r="I4643" t="s">
        <v>179</v>
      </c>
      <c r="J4643" t="s">
        <v>863</v>
      </c>
      <c r="K4643" t="s">
        <v>180</v>
      </c>
      <c r="L4643">
        <v>200124237</v>
      </c>
    </row>
    <row r="4644" spans="3:12">
      <c r="C4644">
        <v>2100300025</v>
      </c>
      <c r="D4644">
        <v>6426000</v>
      </c>
      <c r="E4644" t="s">
        <v>188</v>
      </c>
      <c r="F4644">
        <v>5210010105</v>
      </c>
      <c r="G4644" s="13">
        <v>16723.599999999999</v>
      </c>
      <c r="I4644" t="s">
        <v>179</v>
      </c>
      <c r="J4644" t="s">
        <v>863</v>
      </c>
      <c r="K4644" t="s">
        <v>180</v>
      </c>
      <c r="L4644">
        <v>200124238</v>
      </c>
    </row>
    <row r="4645" spans="3:12">
      <c r="C4645">
        <v>2100300025</v>
      </c>
      <c r="D4645">
        <v>6426000</v>
      </c>
      <c r="E4645" t="s">
        <v>188</v>
      </c>
      <c r="F4645">
        <v>5210010105</v>
      </c>
      <c r="G4645" s="13">
        <v>4000</v>
      </c>
      <c r="I4645" t="s">
        <v>179</v>
      </c>
      <c r="J4645" t="s">
        <v>863</v>
      </c>
      <c r="K4645" t="s">
        <v>180</v>
      </c>
      <c r="L4645">
        <v>200123894</v>
      </c>
    </row>
    <row r="4646" spans="3:12">
      <c r="C4646">
        <v>2100300025</v>
      </c>
      <c r="D4646">
        <v>6426000</v>
      </c>
      <c r="E4646" t="s">
        <v>188</v>
      </c>
      <c r="F4646">
        <v>5210010105</v>
      </c>
      <c r="G4646">
        <v>180</v>
      </c>
      <c r="I4646" t="s">
        <v>179</v>
      </c>
      <c r="J4646" t="s">
        <v>591</v>
      </c>
      <c r="K4646" t="s">
        <v>180</v>
      </c>
      <c r="L4646">
        <v>200128032</v>
      </c>
    </row>
    <row r="4647" spans="3:12">
      <c r="C4647">
        <v>2100300025</v>
      </c>
      <c r="D4647">
        <v>6426000</v>
      </c>
      <c r="E4647" t="s">
        <v>188</v>
      </c>
      <c r="F4647">
        <v>5210010105</v>
      </c>
      <c r="G4647" s="13">
        <v>1450</v>
      </c>
      <c r="I4647" t="s">
        <v>179</v>
      </c>
      <c r="J4647" t="s">
        <v>591</v>
      </c>
      <c r="K4647" t="s">
        <v>180</v>
      </c>
      <c r="L4647">
        <v>200128033</v>
      </c>
    </row>
    <row r="4648" spans="3:12">
      <c r="C4648">
        <v>2100300025</v>
      </c>
      <c r="D4648">
        <v>6426000</v>
      </c>
      <c r="E4648" t="s">
        <v>188</v>
      </c>
      <c r="F4648">
        <v>5210010105</v>
      </c>
      <c r="G4648" s="13">
        <v>1000</v>
      </c>
      <c r="I4648" t="s">
        <v>179</v>
      </c>
      <c r="J4648" t="s">
        <v>591</v>
      </c>
      <c r="K4648" t="s">
        <v>180</v>
      </c>
      <c r="L4648">
        <v>200128034</v>
      </c>
    </row>
    <row r="4649" spans="3:12">
      <c r="C4649">
        <v>2100300025</v>
      </c>
      <c r="D4649">
        <v>6426000</v>
      </c>
      <c r="E4649" t="s">
        <v>188</v>
      </c>
      <c r="F4649">
        <v>5210010105</v>
      </c>
      <c r="G4649">
        <v>800</v>
      </c>
      <c r="I4649" t="s">
        <v>179</v>
      </c>
      <c r="J4649" t="s">
        <v>591</v>
      </c>
      <c r="K4649" t="s">
        <v>180</v>
      </c>
      <c r="L4649">
        <v>200128035</v>
      </c>
    </row>
    <row r="4650" spans="3:12">
      <c r="C4650">
        <v>2100300025</v>
      </c>
      <c r="D4650">
        <v>6426000</v>
      </c>
      <c r="E4650" t="s">
        <v>188</v>
      </c>
      <c r="F4650">
        <v>5210010105</v>
      </c>
      <c r="G4650" s="13">
        <v>11176</v>
      </c>
      <c r="I4650" t="s">
        <v>179</v>
      </c>
      <c r="J4650" t="s">
        <v>865</v>
      </c>
      <c r="K4650" t="s">
        <v>180</v>
      </c>
      <c r="L4650">
        <v>200115299</v>
      </c>
    </row>
    <row r="4651" spans="3:12">
      <c r="C4651">
        <v>2100300025</v>
      </c>
      <c r="D4651">
        <v>6426000</v>
      </c>
      <c r="E4651" t="s">
        <v>188</v>
      </c>
      <c r="F4651">
        <v>5210010105</v>
      </c>
      <c r="G4651" s="13">
        <v>245180</v>
      </c>
      <c r="I4651" t="s">
        <v>179</v>
      </c>
      <c r="J4651" t="s">
        <v>865</v>
      </c>
      <c r="K4651" t="s">
        <v>180</v>
      </c>
      <c r="L4651">
        <v>200117513</v>
      </c>
    </row>
    <row r="4652" spans="3:12">
      <c r="C4652">
        <v>2100300025</v>
      </c>
      <c r="D4652">
        <v>6426000</v>
      </c>
      <c r="E4652" t="s">
        <v>188</v>
      </c>
      <c r="F4652">
        <v>5210010105</v>
      </c>
      <c r="G4652" s="13">
        <v>1870</v>
      </c>
      <c r="I4652" t="s">
        <v>179</v>
      </c>
      <c r="J4652" t="s">
        <v>865</v>
      </c>
      <c r="K4652" t="s">
        <v>180</v>
      </c>
      <c r="L4652">
        <v>200115176</v>
      </c>
    </row>
    <row r="4653" spans="3:12">
      <c r="C4653">
        <v>2100300025</v>
      </c>
      <c r="D4653">
        <v>6426000</v>
      </c>
      <c r="E4653" t="s">
        <v>188</v>
      </c>
      <c r="F4653">
        <v>5210010105</v>
      </c>
      <c r="G4653" s="13">
        <v>2500</v>
      </c>
      <c r="I4653" t="s">
        <v>179</v>
      </c>
      <c r="J4653" t="s">
        <v>865</v>
      </c>
      <c r="K4653" t="s">
        <v>180</v>
      </c>
      <c r="L4653">
        <v>200119201</v>
      </c>
    </row>
    <row r="4654" spans="3:12">
      <c r="C4654">
        <v>2100300025</v>
      </c>
      <c r="D4654">
        <v>6426000</v>
      </c>
      <c r="E4654" t="s">
        <v>188</v>
      </c>
      <c r="F4654">
        <v>5210010105</v>
      </c>
      <c r="G4654" s="13">
        <v>3000</v>
      </c>
      <c r="I4654" t="s">
        <v>179</v>
      </c>
      <c r="J4654" t="s">
        <v>865</v>
      </c>
      <c r="K4654" t="s">
        <v>180</v>
      </c>
      <c r="L4654">
        <v>200115177</v>
      </c>
    </row>
    <row r="4655" spans="3:12">
      <c r="C4655">
        <v>2100300025</v>
      </c>
      <c r="D4655">
        <v>6426000</v>
      </c>
      <c r="E4655" t="s">
        <v>188</v>
      </c>
      <c r="F4655">
        <v>5210010105</v>
      </c>
      <c r="G4655" s="13">
        <v>1305</v>
      </c>
      <c r="I4655" t="s">
        <v>179</v>
      </c>
      <c r="J4655" t="s">
        <v>866</v>
      </c>
      <c r="K4655" t="s">
        <v>180</v>
      </c>
      <c r="L4655">
        <v>200125020</v>
      </c>
    </row>
    <row r="4656" spans="3:12">
      <c r="C4656">
        <v>2100300025</v>
      </c>
      <c r="D4656">
        <v>6426000</v>
      </c>
      <c r="E4656" t="s">
        <v>188</v>
      </c>
      <c r="F4656">
        <v>5210010105</v>
      </c>
      <c r="G4656" s="13">
        <v>3300</v>
      </c>
      <c r="I4656" t="s">
        <v>179</v>
      </c>
      <c r="J4656" t="s">
        <v>983</v>
      </c>
      <c r="K4656" t="s">
        <v>180</v>
      </c>
      <c r="L4656">
        <v>200114427</v>
      </c>
    </row>
    <row r="4657" spans="3:12">
      <c r="C4657">
        <v>2100300025</v>
      </c>
      <c r="D4657">
        <v>6426000</v>
      </c>
      <c r="E4657" t="s">
        <v>188</v>
      </c>
      <c r="F4657">
        <v>5210010105</v>
      </c>
      <c r="G4657" s="13">
        <v>58261.5</v>
      </c>
      <c r="I4657" t="s">
        <v>179</v>
      </c>
      <c r="J4657" t="s">
        <v>983</v>
      </c>
      <c r="K4657" t="s">
        <v>180</v>
      </c>
      <c r="L4657">
        <v>200114430</v>
      </c>
    </row>
    <row r="4658" spans="3:12">
      <c r="C4658">
        <v>2100300025</v>
      </c>
      <c r="D4658">
        <v>6426000</v>
      </c>
      <c r="E4658" t="s">
        <v>188</v>
      </c>
      <c r="F4658">
        <v>5210010105</v>
      </c>
      <c r="G4658" s="13">
        <v>25200</v>
      </c>
      <c r="I4658" t="s">
        <v>179</v>
      </c>
      <c r="J4658" t="s">
        <v>868</v>
      </c>
      <c r="K4658" t="s">
        <v>180</v>
      </c>
      <c r="L4658">
        <v>200113644</v>
      </c>
    </row>
    <row r="4659" spans="3:12">
      <c r="C4659">
        <v>2100300025</v>
      </c>
      <c r="D4659">
        <v>6426000</v>
      </c>
      <c r="E4659" t="s">
        <v>188</v>
      </c>
      <c r="F4659">
        <v>5210010105</v>
      </c>
      <c r="G4659">
        <v>375</v>
      </c>
      <c r="I4659" t="s">
        <v>179</v>
      </c>
      <c r="J4659" t="s">
        <v>868</v>
      </c>
      <c r="K4659" t="s">
        <v>180</v>
      </c>
      <c r="L4659">
        <v>200113645</v>
      </c>
    </row>
    <row r="4660" spans="3:12">
      <c r="C4660">
        <v>2100300025</v>
      </c>
      <c r="D4660">
        <v>6426000</v>
      </c>
      <c r="E4660" t="s">
        <v>188</v>
      </c>
      <c r="F4660">
        <v>5210010105</v>
      </c>
      <c r="G4660" s="13">
        <v>20000</v>
      </c>
      <c r="I4660" t="s">
        <v>179</v>
      </c>
      <c r="J4660" t="s">
        <v>868</v>
      </c>
      <c r="K4660" t="s">
        <v>180</v>
      </c>
      <c r="L4660">
        <v>200112481</v>
      </c>
    </row>
    <row r="4661" spans="3:12">
      <c r="C4661">
        <v>2100300025</v>
      </c>
      <c r="D4661">
        <v>6426000</v>
      </c>
      <c r="E4661" t="s">
        <v>188</v>
      </c>
      <c r="F4661">
        <v>5210010105</v>
      </c>
      <c r="G4661" s="13">
        <v>1800</v>
      </c>
      <c r="I4661" t="s">
        <v>179</v>
      </c>
      <c r="J4661" t="s">
        <v>984</v>
      </c>
      <c r="K4661" t="s">
        <v>180</v>
      </c>
      <c r="L4661">
        <v>200121295</v>
      </c>
    </row>
    <row r="4662" spans="3:12">
      <c r="C4662">
        <v>2100300025</v>
      </c>
      <c r="D4662">
        <v>6426000</v>
      </c>
      <c r="E4662" t="s">
        <v>188</v>
      </c>
      <c r="F4662">
        <v>5210010105</v>
      </c>
      <c r="G4662" s="13">
        <v>3450</v>
      </c>
      <c r="I4662" t="s">
        <v>179</v>
      </c>
      <c r="J4662" t="s">
        <v>984</v>
      </c>
      <c r="K4662" t="s">
        <v>180</v>
      </c>
      <c r="L4662">
        <v>200121900</v>
      </c>
    </row>
    <row r="4663" spans="3:12">
      <c r="C4663">
        <v>2100300025</v>
      </c>
      <c r="D4663">
        <v>6426000</v>
      </c>
      <c r="E4663" t="s">
        <v>188</v>
      </c>
      <c r="F4663">
        <v>5210010105</v>
      </c>
      <c r="G4663" s="13">
        <v>4750</v>
      </c>
      <c r="I4663" t="s">
        <v>179</v>
      </c>
      <c r="J4663" t="s">
        <v>984</v>
      </c>
      <c r="K4663" t="s">
        <v>180</v>
      </c>
      <c r="L4663">
        <v>200123158</v>
      </c>
    </row>
    <row r="4664" spans="3:12">
      <c r="C4664">
        <v>2100300025</v>
      </c>
      <c r="D4664">
        <v>6426000</v>
      </c>
      <c r="E4664" t="s">
        <v>188</v>
      </c>
      <c r="F4664">
        <v>5210010105</v>
      </c>
      <c r="G4664">
        <v>593.6</v>
      </c>
      <c r="I4664" t="s">
        <v>179</v>
      </c>
      <c r="J4664" t="s">
        <v>984</v>
      </c>
      <c r="K4664" t="s">
        <v>180</v>
      </c>
      <c r="L4664">
        <v>200118374</v>
      </c>
    </row>
    <row r="4665" spans="3:12">
      <c r="C4665">
        <v>2100300025</v>
      </c>
      <c r="D4665">
        <v>6426000</v>
      </c>
      <c r="E4665" t="s">
        <v>188</v>
      </c>
      <c r="F4665">
        <v>5210010105</v>
      </c>
      <c r="G4665" s="13">
        <v>3600</v>
      </c>
      <c r="I4665" t="s">
        <v>179</v>
      </c>
      <c r="J4665" t="s">
        <v>984</v>
      </c>
      <c r="K4665" t="s">
        <v>180</v>
      </c>
      <c r="L4665">
        <v>200123160</v>
      </c>
    </row>
    <row r="4666" spans="3:12">
      <c r="C4666">
        <v>2100300025</v>
      </c>
      <c r="D4666">
        <v>6426000</v>
      </c>
      <c r="E4666" t="s">
        <v>188</v>
      </c>
      <c r="F4666">
        <v>5210010105</v>
      </c>
      <c r="G4666" s="13">
        <v>55481</v>
      </c>
      <c r="I4666" t="s">
        <v>179</v>
      </c>
      <c r="J4666" t="s">
        <v>984</v>
      </c>
      <c r="K4666" t="s">
        <v>180</v>
      </c>
      <c r="L4666">
        <v>200121300</v>
      </c>
    </row>
    <row r="4667" spans="3:12">
      <c r="C4667">
        <v>2100300025</v>
      </c>
      <c r="D4667">
        <v>6426000</v>
      </c>
      <c r="E4667" t="s">
        <v>188</v>
      </c>
      <c r="F4667">
        <v>5210010105</v>
      </c>
      <c r="G4667" s="13">
        <v>2000</v>
      </c>
      <c r="I4667" t="s">
        <v>179</v>
      </c>
      <c r="J4667" t="s">
        <v>984</v>
      </c>
      <c r="K4667" t="s">
        <v>180</v>
      </c>
      <c r="L4667">
        <v>200123501</v>
      </c>
    </row>
    <row r="4668" spans="3:12">
      <c r="C4668">
        <v>2100300025</v>
      </c>
      <c r="D4668">
        <v>6426000</v>
      </c>
      <c r="E4668" t="s">
        <v>188</v>
      </c>
      <c r="F4668">
        <v>5210010105</v>
      </c>
      <c r="G4668" s="13">
        <v>1600</v>
      </c>
      <c r="I4668" t="s">
        <v>179</v>
      </c>
      <c r="J4668" t="s">
        <v>868</v>
      </c>
      <c r="K4668" t="s">
        <v>180</v>
      </c>
      <c r="L4668">
        <v>200113721</v>
      </c>
    </row>
    <row r="4669" spans="3:12">
      <c r="C4669">
        <v>2100300025</v>
      </c>
      <c r="D4669">
        <v>6426000</v>
      </c>
      <c r="E4669" t="s">
        <v>188</v>
      </c>
      <c r="F4669">
        <v>5210010105</v>
      </c>
      <c r="G4669" s="13">
        <v>6300</v>
      </c>
      <c r="I4669" t="s">
        <v>179</v>
      </c>
      <c r="J4669" t="s">
        <v>867</v>
      </c>
      <c r="K4669" t="s">
        <v>180</v>
      </c>
      <c r="L4669">
        <v>200113180</v>
      </c>
    </row>
    <row r="4670" spans="3:12">
      <c r="C4670">
        <v>2100300025</v>
      </c>
      <c r="D4670">
        <v>6426000</v>
      </c>
      <c r="E4670" t="s">
        <v>188</v>
      </c>
      <c r="F4670">
        <v>5210010105</v>
      </c>
      <c r="G4670">
        <v>810</v>
      </c>
      <c r="I4670" t="s">
        <v>179</v>
      </c>
      <c r="J4670" t="s">
        <v>867</v>
      </c>
      <c r="K4670" t="s">
        <v>180</v>
      </c>
      <c r="L4670">
        <v>200113181</v>
      </c>
    </row>
    <row r="4671" spans="3:12">
      <c r="C4671">
        <v>2100300025</v>
      </c>
      <c r="D4671">
        <v>6426000</v>
      </c>
      <c r="E4671" t="s">
        <v>188</v>
      </c>
      <c r="F4671">
        <v>5210010105</v>
      </c>
      <c r="G4671">
        <v>790</v>
      </c>
      <c r="I4671" t="s">
        <v>179</v>
      </c>
      <c r="J4671" t="s">
        <v>985</v>
      </c>
      <c r="K4671" t="s">
        <v>180</v>
      </c>
      <c r="L4671">
        <v>200121909</v>
      </c>
    </row>
    <row r="4672" spans="3:12">
      <c r="C4672">
        <v>2100300025</v>
      </c>
      <c r="D4672">
        <v>6426000</v>
      </c>
      <c r="E4672" t="s">
        <v>188</v>
      </c>
      <c r="F4672">
        <v>5210010105</v>
      </c>
      <c r="G4672" s="13">
        <v>3600</v>
      </c>
      <c r="I4672" t="s">
        <v>179</v>
      </c>
      <c r="J4672" t="s">
        <v>985</v>
      </c>
      <c r="K4672" t="s">
        <v>180</v>
      </c>
      <c r="L4672">
        <v>200122201</v>
      </c>
    </row>
    <row r="4673" spans="3:12">
      <c r="C4673">
        <v>2100300025</v>
      </c>
      <c r="D4673">
        <v>6426000</v>
      </c>
      <c r="E4673" t="s">
        <v>188</v>
      </c>
      <c r="F4673">
        <v>5210010105</v>
      </c>
      <c r="G4673" s="13">
        <v>3690</v>
      </c>
      <c r="I4673" t="s">
        <v>179</v>
      </c>
      <c r="J4673" t="s">
        <v>985</v>
      </c>
      <c r="K4673" t="s">
        <v>180</v>
      </c>
      <c r="L4673">
        <v>200122008</v>
      </c>
    </row>
    <row r="4674" spans="3:12">
      <c r="C4674">
        <v>2100300025</v>
      </c>
      <c r="D4674">
        <v>6426000</v>
      </c>
      <c r="E4674" t="s">
        <v>188</v>
      </c>
      <c r="F4674">
        <v>5210010105</v>
      </c>
      <c r="G4674" s="13">
        <v>11980</v>
      </c>
      <c r="I4674" t="s">
        <v>179</v>
      </c>
      <c r="J4674" t="s">
        <v>985</v>
      </c>
      <c r="K4674" t="s">
        <v>180</v>
      </c>
      <c r="L4674">
        <v>200122203</v>
      </c>
    </row>
    <row r="4675" spans="3:12">
      <c r="C4675">
        <v>2100300025</v>
      </c>
      <c r="D4675">
        <v>6426000</v>
      </c>
      <c r="E4675" t="s">
        <v>188</v>
      </c>
      <c r="F4675">
        <v>5210010105</v>
      </c>
      <c r="G4675" s="13">
        <v>3900</v>
      </c>
      <c r="I4675" t="s">
        <v>179</v>
      </c>
      <c r="J4675" t="s">
        <v>985</v>
      </c>
      <c r="K4675" t="s">
        <v>180</v>
      </c>
      <c r="L4675">
        <v>200121959</v>
      </c>
    </row>
    <row r="4676" spans="3:12">
      <c r="C4676">
        <v>2100300025</v>
      </c>
      <c r="D4676">
        <v>6426000</v>
      </c>
      <c r="E4676" t="s">
        <v>188</v>
      </c>
      <c r="F4676">
        <v>5210010105</v>
      </c>
      <c r="G4676">
        <v>300</v>
      </c>
      <c r="I4676" t="s">
        <v>179</v>
      </c>
      <c r="J4676" t="s">
        <v>985</v>
      </c>
      <c r="K4676" t="s">
        <v>180</v>
      </c>
      <c r="L4676">
        <v>200121960</v>
      </c>
    </row>
    <row r="4677" spans="3:12">
      <c r="C4677">
        <v>2100300025</v>
      </c>
      <c r="D4677">
        <v>6426000</v>
      </c>
      <c r="E4677" t="s">
        <v>188</v>
      </c>
      <c r="F4677">
        <v>5210010105</v>
      </c>
      <c r="G4677" s="13">
        <v>191448</v>
      </c>
      <c r="I4677" t="s">
        <v>179</v>
      </c>
      <c r="J4677" t="s">
        <v>985</v>
      </c>
      <c r="K4677" t="s">
        <v>180</v>
      </c>
      <c r="L4677">
        <v>200122307</v>
      </c>
    </row>
    <row r="4678" spans="3:12">
      <c r="C4678">
        <v>2100300025</v>
      </c>
      <c r="D4678">
        <v>6426000</v>
      </c>
      <c r="E4678" t="s">
        <v>188</v>
      </c>
      <c r="F4678">
        <v>5210010105</v>
      </c>
      <c r="G4678" s="13">
        <v>11916</v>
      </c>
      <c r="I4678" t="s">
        <v>179</v>
      </c>
      <c r="J4678" t="s">
        <v>985</v>
      </c>
      <c r="K4678" t="s">
        <v>180</v>
      </c>
      <c r="L4678">
        <v>200117555</v>
      </c>
    </row>
    <row r="4679" spans="3:12">
      <c r="C4679">
        <v>2100300025</v>
      </c>
      <c r="D4679">
        <v>6426000</v>
      </c>
      <c r="E4679" t="s">
        <v>188</v>
      </c>
      <c r="F4679">
        <v>5210010105</v>
      </c>
      <c r="G4679" s="13">
        <v>2675</v>
      </c>
      <c r="I4679" t="s">
        <v>179</v>
      </c>
      <c r="J4679" t="s">
        <v>591</v>
      </c>
      <c r="K4679" t="s">
        <v>180</v>
      </c>
      <c r="L4679">
        <v>200126976</v>
      </c>
    </row>
    <row r="4680" spans="3:12">
      <c r="C4680">
        <v>2100300025</v>
      </c>
      <c r="D4680">
        <v>6426000</v>
      </c>
      <c r="E4680" t="s">
        <v>188</v>
      </c>
      <c r="F4680">
        <v>5210010105</v>
      </c>
      <c r="G4680" s="13">
        <v>1942</v>
      </c>
      <c r="I4680" t="s">
        <v>179</v>
      </c>
      <c r="J4680" t="s">
        <v>985</v>
      </c>
      <c r="K4680" t="s">
        <v>180</v>
      </c>
      <c r="L4680">
        <v>200121416</v>
      </c>
    </row>
    <row r="4681" spans="3:12">
      <c r="C4681">
        <v>2100300025</v>
      </c>
      <c r="D4681">
        <v>6426000</v>
      </c>
      <c r="E4681" t="s">
        <v>188</v>
      </c>
      <c r="F4681">
        <v>5210010105</v>
      </c>
      <c r="G4681" s="13">
        <v>13070.1</v>
      </c>
      <c r="I4681" t="s">
        <v>179</v>
      </c>
      <c r="J4681" t="s">
        <v>985</v>
      </c>
      <c r="K4681" t="s">
        <v>180</v>
      </c>
      <c r="L4681">
        <v>200121417</v>
      </c>
    </row>
    <row r="4682" spans="3:12">
      <c r="C4682">
        <v>2100300025</v>
      </c>
      <c r="D4682">
        <v>6426000</v>
      </c>
      <c r="E4682" t="s">
        <v>188</v>
      </c>
      <c r="F4682">
        <v>5210010105</v>
      </c>
      <c r="G4682" s="13">
        <v>4718</v>
      </c>
      <c r="I4682" t="s">
        <v>179</v>
      </c>
      <c r="J4682" t="s">
        <v>985</v>
      </c>
      <c r="K4682" t="s">
        <v>180</v>
      </c>
      <c r="L4682">
        <v>200121057</v>
      </c>
    </row>
    <row r="4683" spans="3:12">
      <c r="C4683">
        <v>2100300025</v>
      </c>
      <c r="D4683">
        <v>6426000</v>
      </c>
      <c r="E4683" t="s">
        <v>188</v>
      </c>
      <c r="F4683">
        <v>5210010105</v>
      </c>
      <c r="G4683" s="13">
        <v>1825</v>
      </c>
      <c r="I4683" t="s">
        <v>179</v>
      </c>
      <c r="J4683" t="s">
        <v>985</v>
      </c>
      <c r="K4683" t="s">
        <v>180</v>
      </c>
      <c r="L4683">
        <v>200121058</v>
      </c>
    </row>
    <row r="4684" spans="3:12">
      <c r="C4684">
        <v>2100300025</v>
      </c>
      <c r="D4684">
        <v>6426000</v>
      </c>
      <c r="E4684" t="s">
        <v>188</v>
      </c>
      <c r="F4684">
        <v>5210010105</v>
      </c>
      <c r="G4684" s="13">
        <v>8775</v>
      </c>
      <c r="I4684" t="s">
        <v>179</v>
      </c>
      <c r="J4684" t="s">
        <v>985</v>
      </c>
      <c r="K4684" t="s">
        <v>180</v>
      </c>
      <c r="L4684">
        <v>200121059</v>
      </c>
    </row>
    <row r="4685" spans="3:12">
      <c r="C4685">
        <v>2100300025</v>
      </c>
      <c r="D4685">
        <v>6426000</v>
      </c>
      <c r="E4685" t="s">
        <v>188</v>
      </c>
      <c r="F4685">
        <v>5210010105</v>
      </c>
      <c r="G4685" s="13">
        <v>29157.5</v>
      </c>
      <c r="I4685" t="s">
        <v>179</v>
      </c>
      <c r="J4685" t="s">
        <v>985</v>
      </c>
      <c r="K4685" t="s">
        <v>180</v>
      </c>
      <c r="L4685">
        <v>200121060</v>
      </c>
    </row>
    <row r="4686" spans="3:12">
      <c r="C4686">
        <v>2100300025</v>
      </c>
      <c r="D4686">
        <v>6426000</v>
      </c>
      <c r="E4686" t="s">
        <v>188</v>
      </c>
      <c r="F4686">
        <v>5210010105</v>
      </c>
      <c r="G4686" s="13">
        <v>32500</v>
      </c>
      <c r="I4686" t="s">
        <v>179</v>
      </c>
      <c r="J4686" t="s">
        <v>985</v>
      </c>
      <c r="K4686" t="s">
        <v>180</v>
      </c>
      <c r="L4686">
        <v>200121908</v>
      </c>
    </row>
    <row r="4687" spans="3:12">
      <c r="C4687">
        <v>2100300025</v>
      </c>
      <c r="D4687">
        <v>6426000</v>
      </c>
      <c r="E4687" t="s">
        <v>188</v>
      </c>
      <c r="F4687">
        <v>5210010105</v>
      </c>
      <c r="G4687" s="13">
        <v>118200</v>
      </c>
      <c r="I4687" t="s">
        <v>179</v>
      </c>
      <c r="J4687" t="s">
        <v>986</v>
      </c>
      <c r="K4687" t="s">
        <v>180</v>
      </c>
      <c r="L4687">
        <v>200126216</v>
      </c>
    </row>
    <row r="4688" spans="3:12">
      <c r="C4688">
        <v>2100300025</v>
      </c>
      <c r="D4688">
        <v>6426000</v>
      </c>
      <c r="E4688" t="s">
        <v>188</v>
      </c>
      <c r="F4688">
        <v>5210010105</v>
      </c>
      <c r="G4688" s="13">
        <v>109750</v>
      </c>
      <c r="I4688" t="s">
        <v>179</v>
      </c>
      <c r="J4688" t="s">
        <v>986</v>
      </c>
      <c r="K4688" t="s">
        <v>180</v>
      </c>
      <c r="L4688">
        <v>200126303</v>
      </c>
    </row>
    <row r="4689" spans="3:12">
      <c r="C4689">
        <v>2100300025</v>
      </c>
      <c r="D4689">
        <v>6426000</v>
      </c>
      <c r="E4689" t="s">
        <v>188</v>
      </c>
      <c r="F4689">
        <v>5210010105</v>
      </c>
      <c r="G4689" s="13">
        <v>1160</v>
      </c>
      <c r="I4689" t="s">
        <v>179</v>
      </c>
      <c r="J4689" t="s">
        <v>987</v>
      </c>
      <c r="K4689" t="s">
        <v>180</v>
      </c>
      <c r="L4689">
        <v>200120052</v>
      </c>
    </row>
    <row r="4690" spans="3:12">
      <c r="C4690">
        <v>2100300025</v>
      </c>
      <c r="D4690">
        <v>6426000</v>
      </c>
      <c r="E4690" t="s">
        <v>188</v>
      </c>
      <c r="F4690">
        <v>5210010105</v>
      </c>
      <c r="G4690" s="13">
        <v>63000</v>
      </c>
      <c r="I4690" t="s">
        <v>179</v>
      </c>
      <c r="J4690" t="s">
        <v>978</v>
      </c>
      <c r="K4690" t="s">
        <v>180</v>
      </c>
      <c r="L4690">
        <v>200124555</v>
      </c>
    </row>
    <row r="4691" spans="3:12">
      <c r="C4691">
        <v>2100300025</v>
      </c>
      <c r="D4691">
        <v>6426000</v>
      </c>
      <c r="E4691" t="s">
        <v>188</v>
      </c>
      <c r="F4691">
        <v>5210010105</v>
      </c>
      <c r="G4691" s="13">
        <v>94202.8</v>
      </c>
      <c r="I4691" t="s">
        <v>179</v>
      </c>
      <c r="J4691" t="s">
        <v>978</v>
      </c>
      <c r="K4691" t="s">
        <v>180</v>
      </c>
      <c r="L4691">
        <v>200124955</v>
      </c>
    </row>
    <row r="4692" spans="3:12">
      <c r="C4692">
        <v>2100300025</v>
      </c>
      <c r="D4692">
        <v>6426000</v>
      </c>
      <c r="E4692" t="s">
        <v>188</v>
      </c>
      <c r="F4692">
        <v>5210010105</v>
      </c>
      <c r="G4692" s="13">
        <v>203501.16</v>
      </c>
      <c r="I4692" t="s">
        <v>179</v>
      </c>
      <c r="J4692" t="s">
        <v>978</v>
      </c>
      <c r="K4692" t="s">
        <v>180</v>
      </c>
      <c r="L4692">
        <v>200124653</v>
      </c>
    </row>
    <row r="4693" spans="3:12">
      <c r="C4693">
        <v>2100300025</v>
      </c>
      <c r="D4693">
        <v>6426000</v>
      </c>
      <c r="E4693" t="s">
        <v>188</v>
      </c>
      <c r="F4693">
        <v>5210010105</v>
      </c>
      <c r="G4693" s="13">
        <v>64200</v>
      </c>
      <c r="I4693" t="s">
        <v>179</v>
      </c>
      <c r="J4693" t="s">
        <v>978</v>
      </c>
      <c r="K4693" t="s">
        <v>180</v>
      </c>
      <c r="L4693">
        <v>200124572</v>
      </c>
    </row>
    <row r="4694" spans="3:12">
      <c r="C4694">
        <v>2100300025</v>
      </c>
      <c r="D4694">
        <v>6426000</v>
      </c>
      <c r="E4694" t="s">
        <v>188</v>
      </c>
      <c r="F4694">
        <v>5210010105</v>
      </c>
      <c r="G4694" s="13">
        <v>24616</v>
      </c>
      <c r="I4694" t="s">
        <v>179</v>
      </c>
      <c r="J4694" t="s">
        <v>862</v>
      </c>
      <c r="K4694" t="s">
        <v>180</v>
      </c>
      <c r="L4694">
        <v>200112410</v>
      </c>
    </row>
    <row r="4695" spans="3:12">
      <c r="C4695">
        <v>2100300025</v>
      </c>
      <c r="D4695">
        <v>6426000</v>
      </c>
      <c r="E4695" t="s">
        <v>188</v>
      </c>
      <c r="F4695">
        <v>5210010105</v>
      </c>
      <c r="G4695" s="13">
        <v>6300</v>
      </c>
      <c r="I4695" t="s">
        <v>179</v>
      </c>
      <c r="J4695" t="s">
        <v>862</v>
      </c>
      <c r="K4695" t="s">
        <v>180</v>
      </c>
      <c r="L4695">
        <v>200112339</v>
      </c>
    </row>
    <row r="4696" spans="3:12">
      <c r="C4696">
        <v>2100300025</v>
      </c>
      <c r="D4696">
        <v>6426000</v>
      </c>
      <c r="E4696" t="s">
        <v>188</v>
      </c>
      <c r="F4696">
        <v>5210010105</v>
      </c>
      <c r="G4696" s="13">
        <v>23500</v>
      </c>
      <c r="I4696" t="s">
        <v>179</v>
      </c>
      <c r="J4696" t="s">
        <v>862</v>
      </c>
      <c r="K4696" t="s">
        <v>180</v>
      </c>
      <c r="L4696">
        <v>200110783</v>
      </c>
    </row>
    <row r="4697" spans="3:12">
      <c r="C4697">
        <v>2100300025</v>
      </c>
      <c r="D4697">
        <v>6426000</v>
      </c>
      <c r="E4697" t="s">
        <v>188</v>
      </c>
      <c r="F4697">
        <v>5210010105</v>
      </c>
      <c r="G4697" s="13">
        <v>9843</v>
      </c>
      <c r="I4697" t="s">
        <v>179</v>
      </c>
      <c r="J4697" t="s">
        <v>862</v>
      </c>
      <c r="K4697" t="s">
        <v>180</v>
      </c>
      <c r="L4697">
        <v>200112340</v>
      </c>
    </row>
    <row r="4698" spans="3:12">
      <c r="C4698">
        <v>2100300025</v>
      </c>
      <c r="D4698">
        <v>6426000</v>
      </c>
      <c r="E4698" t="s">
        <v>188</v>
      </c>
      <c r="F4698">
        <v>5210010105</v>
      </c>
      <c r="G4698" s="13">
        <v>43335</v>
      </c>
      <c r="I4698" t="s">
        <v>179</v>
      </c>
      <c r="J4698" t="s">
        <v>862</v>
      </c>
      <c r="K4698" t="s">
        <v>180</v>
      </c>
      <c r="L4698">
        <v>200112341</v>
      </c>
    </row>
    <row r="4699" spans="3:12">
      <c r="C4699">
        <v>2100300025</v>
      </c>
      <c r="D4699">
        <v>6426000</v>
      </c>
      <c r="E4699" t="s">
        <v>188</v>
      </c>
      <c r="F4699">
        <v>5210010105</v>
      </c>
      <c r="G4699" s="13">
        <v>495000</v>
      </c>
      <c r="I4699" t="s">
        <v>179</v>
      </c>
      <c r="J4699" t="s">
        <v>862</v>
      </c>
      <c r="K4699" t="s">
        <v>180</v>
      </c>
      <c r="L4699">
        <v>200112411</v>
      </c>
    </row>
    <row r="4700" spans="3:12">
      <c r="C4700">
        <v>2100300025</v>
      </c>
      <c r="D4700">
        <v>6426000</v>
      </c>
      <c r="E4700" t="s">
        <v>188</v>
      </c>
      <c r="F4700">
        <v>5210010105</v>
      </c>
      <c r="G4700" s="13">
        <v>5713</v>
      </c>
      <c r="I4700" t="s">
        <v>179</v>
      </c>
      <c r="J4700" t="s">
        <v>862</v>
      </c>
      <c r="K4700" t="s">
        <v>180</v>
      </c>
      <c r="L4700">
        <v>200110784</v>
      </c>
    </row>
    <row r="4701" spans="3:12">
      <c r="C4701">
        <v>2100300025</v>
      </c>
      <c r="D4701">
        <v>6426000</v>
      </c>
      <c r="E4701" t="s">
        <v>188</v>
      </c>
      <c r="F4701">
        <v>5210010105</v>
      </c>
      <c r="G4701" s="13">
        <v>108487.3</v>
      </c>
      <c r="I4701" t="s">
        <v>179</v>
      </c>
      <c r="J4701" t="s">
        <v>862</v>
      </c>
      <c r="K4701" t="s">
        <v>180</v>
      </c>
      <c r="L4701">
        <v>200112412</v>
      </c>
    </row>
    <row r="4702" spans="3:12">
      <c r="C4702">
        <v>2100300025</v>
      </c>
      <c r="D4702">
        <v>6426000</v>
      </c>
      <c r="E4702" t="s">
        <v>188</v>
      </c>
      <c r="F4702">
        <v>5210010105</v>
      </c>
      <c r="G4702" s="13">
        <v>10000</v>
      </c>
      <c r="I4702" t="s">
        <v>179</v>
      </c>
      <c r="J4702" t="s">
        <v>862</v>
      </c>
      <c r="K4702" t="s">
        <v>180</v>
      </c>
      <c r="L4702">
        <v>200112342</v>
      </c>
    </row>
    <row r="4703" spans="3:12">
      <c r="C4703">
        <v>2100300025</v>
      </c>
      <c r="D4703">
        <v>6426000</v>
      </c>
      <c r="E4703" t="s">
        <v>188</v>
      </c>
      <c r="F4703">
        <v>5210010105</v>
      </c>
      <c r="G4703" s="13">
        <v>402160</v>
      </c>
      <c r="I4703" t="s">
        <v>179</v>
      </c>
      <c r="J4703" t="s">
        <v>862</v>
      </c>
      <c r="K4703" t="s">
        <v>180</v>
      </c>
      <c r="L4703">
        <v>200110785</v>
      </c>
    </row>
    <row r="4704" spans="3:12">
      <c r="C4704">
        <v>2100300025</v>
      </c>
      <c r="D4704">
        <v>6426000</v>
      </c>
      <c r="E4704" t="s">
        <v>188</v>
      </c>
      <c r="F4704">
        <v>5210010105</v>
      </c>
      <c r="G4704" s="13">
        <v>27750</v>
      </c>
      <c r="I4704" t="s">
        <v>179</v>
      </c>
      <c r="J4704" t="s">
        <v>862</v>
      </c>
      <c r="K4704" t="s">
        <v>180</v>
      </c>
      <c r="L4704">
        <v>200112343</v>
      </c>
    </row>
    <row r="4705" spans="3:12">
      <c r="C4705">
        <v>2100300025</v>
      </c>
      <c r="D4705">
        <v>6426000</v>
      </c>
      <c r="E4705" t="s">
        <v>188</v>
      </c>
      <c r="F4705">
        <v>5210010105</v>
      </c>
      <c r="G4705" s="13">
        <v>3250</v>
      </c>
      <c r="I4705" t="s">
        <v>179</v>
      </c>
      <c r="J4705" t="s">
        <v>982</v>
      </c>
      <c r="K4705" t="s">
        <v>180</v>
      </c>
      <c r="L4705">
        <v>200119029</v>
      </c>
    </row>
    <row r="4706" spans="3:12">
      <c r="C4706">
        <v>2100300025</v>
      </c>
      <c r="D4706">
        <v>6426000</v>
      </c>
      <c r="E4706" t="s">
        <v>188</v>
      </c>
      <c r="F4706">
        <v>5210010105</v>
      </c>
      <c r="G4706" s="13">
        <v>2250</v>
      </c>
      <c r="I4706" t="s">
        <v>179</v>
      </c>
      <c r="J4706" t="s">
        <v>982</v>
      </c>
      <c r="K4706" t="s">
        <v>180</v>
      </c>
      <c r="L4706">
        <v>200118087</v>
      </c>
    </row>
    <row r="4707" spans="3:12">
      <c r="C4707">
        <v>2100300025</v>
      </c>
      <c r="D4707">
        <v>6426000</v>
      </c>
      <c r="E4707" t="s">
        <v>188</v>
      </c>
      <c r="F4707">
        <v>5210010105</v>
      </c>
      <c r="G4707" s="13">
        <v>4500</v>
      </c>
      <c r="I4707" t="s">
        <v>179</v>
      </c>
      <c r="J4707" t="s">
        <v>982</v>
      </c>
      <c r="K4707" t="s">
        <v>180</v>
      </c>
      <c r="L4707">
        <v>200119833</v>
      </c>
    </row>
    <row r="4708" spans="3:12">
      <c r="C4708">
        <v>2100300025</v>
      </c>
      <c r="D4708">
        <v>6426000</v>
      </c>
      <c r="E4708" t="s">
        <v>188</v>
      </c>
      <c r="F4708">
        <v>5210010105</v>
      </c>
      <c r="G4708" s="13">
        <v>2500</v>
      </c>
      <c r="I4708" t="s">
        <v>179</v>
      </c>
      <c r="J4708" t="s">
        <v>982</v>
      </c>
      <c r="K4708" t="s">
        <v>180</v>
      </c>
      <c r="L4708">
        <v>200119834</v>
      </c>
    </row>
    <row r="4709" spans="3:12">
      <c r="C4709">
        <v>2100300025</v>
      </c>
      <c r="D4709">
        <v>6426000</v>
      </c>
      <c r="E4709" t="s">
        <v>188</v>
      </c>
      <c r="F4709">
        <v>5210010105</v>
      </c>
      <c r="G4709" s="13">
        <v>3800</v>
      </c>
      <c r="I4709" t="s">
        <v>179</v>
      </c>
      <c r="J4709" t="s">
        <v>982</v>
      </c>
      <c r="K4709" t="s">
        <v>180</v>
      </c>
      <c r="L4709">
        <v>200119030</v>
      </c>
    </row>
    <row r="4710" spans="3:12">
      <c r="C4710">
        <v>2100300025</v>
      </c>
      <c r="D4710">
        <v>6426000</v>
      </c>
      <c r="E4710" t="s">
        <v>188</v>
      </c>
      <c r="F4710">
        <v>5210010105</v>
      </c>
      <c r="G4710" s="13">
        <v>7067</v>
      </c>
      <c r="I4710" t="s">
        <v>179</v>
      </c>
      <c r="J4710" t="s">
        <v>557</v>
      </c>
      <c r="K4710" t="s">
        <v>180</v>
      </c>
      <c r="L4710">
        <v>200114198</v>
      </c>
    </row>
    <row r="4711" spans="3:12">
      <c r="C4711">
        <v>2100300025</v>
      </c>
      <c r="D4711">
        <v>6426000</v>
      </c>
      <c r="E4711" t="s">
        <v>188</v>
      </c>
      <c r="F4711">
        <v>5210010105</v>
      </c>
      <c r="G4711" s="13">
        <v>2189.2199999999998</v>
      </c>
      <c r="I4711" t="s">
        <v>179</v>
      </c>
      <c r="J4711" t="s">
        <v>557</v>
      </c>
      <c r="K4711" t="s">
        <v>180</v>
      </c>
      <c r="L4711">
        <v>200110853</v>
      </c>
    </row>
    <row r="4712" spans="3:12">
      <c r="C4712">
        <v>2100300025</v>
      </c>
      <c r="D4712">
        <v>6426000</v>
      </c>
      <c r="E4712" t="s">
        <v>188</v>
      </c>
      <c r="F4712">
        <v>5210010105</v>
      </c>
      <c r="G4712" s="13">
        <v>2360.42</v>
      </c>
      <c r="I4712" t="s">
        <v>179</v>
      </c>
      <c r="J4712" t="s">
        <v>557</v>
      </c>
      <c r="K4712" t="s">
        <v>180</v>
      </c>
      <c r="L4712">
        <v>200113132</v>
      </c>
    </row>
    <row r="4713" spans="3:12">
      <c r="C4713">
        <v>2100300025</v>
      </c>
      <c r="D4713">
        <v>6426000</v>
      </c>
      <c r="E4713" t="s">
        <v>188</v>
      </c>
      <c r="F4713">
        <v>5210010105</v>
      </c>
      <c r="G4713" s="13">
        <v>2550</v>
      </c>
      <c r="I4713" t="s">
        <v>179</v>
      </c>
      <c r="J4713" t="s">
        <v>557</v>
      </c>
      <c r="K4713" t="s">
        <v>180</v>
      </c>
      <c r="L4713">
        <v>200114176</v>
      </c>
    </row>
    <row r="4714" spans="3:12">
      <c r="C4714">
        <v>2100300025</v>
      </c>
      <c r="D4714">
        <v>6426000</v>
      </c>
      <c r="E4714" t="s">
        <v>188</v>
      </c>
      <c r="F4714">
        <v>5210010105</v>
      </c>
      <c r="G4714" s="13">
        <v>2377.8000000000002</v>
      </c>
      <c r="I4714" t="s">
        <v>179</v>
      </c>
      <c r="J4714" t="s">
        <v>557</v>
      </c>
      <c r="K4714" t="s">
        <v>180</v>
      </c>
      <c r="L4714">
        <v>200114177</v>
      </c>
    </row>
    <row r="4715" spans="3:12">
      <c r="C4715">
        <v>2100300025</v>
      </c>
      <c r="D4715">
        <v>6426000</v>
      </c>
      <c r="E4715" t="s">
        <v>188</v>
      </c>
      <c r="F4715">
        <v>5210010105</v>
      </c>
      <c r="G4715" s="13">
        <v>2304</v>
      </c>
      <c r="I4715" t="s">
        <v>179</v>
      </c>
      <c r="J4715" t="s">
        <v>557</v>
      </c>
      <c r="K4715" t="s">
        <v>180</v>
      </c>
      <c r="L4715">
        <v>200112640</v>
      </c>
    </row>
    <row r="4716" spans="3:12">
      <c r="C4716">
        <v>2100300025</v>
      </c>
      <c r="D4716">
        <v>6426000</v>
      </c>
      <c r="E4716" t="s">
        <v>188</v>
      </c>
      <c r="F4716">
        <v>5210010105</v>
      </c>
      <c r="G4716" s="13">
        <v>2300</v>
      </c>
      <c r="I4716" t="s">
        <v>179</v>
      </c>
      <c r="J4716" t="s">
        <v>557</v>
      </c>
      <c r="K4716" t="s">
        <v>180</v>
      </c>
      <c r="L4716">
        <v>200112580</v>
      </c>
    </row>
    <row r="4717" spans="3:12">
      <c r="C4717">
        <v>2100300025</v>
      </c>
      <c r="D4717">
        <v>6426000</v>
      </c>
      <c r="E4717" t="s">
        <v>188</v>
      </c>
      <c r="F4717">
        <v>5210010105</v>
      </c>
      <c r="G4717" s="13">
        <v>2250</v>
      </c>
      <c r="I4717" t="s">
        <v>179</v>
      </c>
      <c r="J4717" t="s">
        <v>557</v>
      </c>
      <c r="K4717" t="s">
        <v>180</v>
      </c>
      <c r="L4717">
        <v>200110855</v>
      </c>
    </row>
    <row r="4718" spans="3:12">
      <c r="C4718">
        <v>2100300025</v>
      </c>
      <c r="D4718">
        <v>6426000</v>
      </c>
      <c r="E4718" t="s">
        <v>188</v>
      </c>
      <c r="F4718">
        <v>5210010105</v>
      </c>
      <c r="G4718" s="13">
        <v>4049</v>
      </c>
      <c r="I4718" t="s">
        <v>179</v>
      </c>
      <c r="J4718" t="s">
        <v>557</v>
      </c>
      <c r="K4718" t="s">
        <v>180</v>
      </c>
      <c r="L4718">
        <v>200114179</v>
      </c>
    </row>
    <row r="4719" spans="3:12">
      <c r="C4719">
        <v>2100300025</v>
      </c>
      <c r="D4719">
        <v>6426000</v>
      </c>
      <c r="E4719" t="s">
        <v>188</v>
      </c>
      <c r="F4719">
        <v>5210010105</v>
      </c>
      <c r="G4719" s="13">
        <v>76895</v>
      </c>
      <c r="I4719" t="s">
        <v>179</v>
      </c>
      <c r="J4719" t="s">
        <v>557</v>
      </c>
      <c r="K4719" t="s">
        <v>180</v>
      </c>
      <c r="L4719">
        <v>200114180</v>
      </c>
    </row>
    <row r="4720" spans="3:12">
      <c r="C4720">
        <v>2100300025</v>
      </c>
      <c r="D4720">
        <v>6426000</v>
      </c>
      <c r="E4720" t="s">
        <v>188</v>
      </c>
      <c r="F4720">
        <v>5210010105</v>
      </c>
      <c r="G4720" s="13">
        <v>31458</v>
      </c>
      <c r="I4720" t="s">
        <v>179</v>
      </c>
      <c r="J4720" t="s">
        <v>557</v>
      </c>
      <c r="K4720" t="s">
        <v>180</v>
      </c>
      <c r="L4720">
        <v>200112583</v>
      </c>
    </row>
    <row r="4721" spans="3:12">
      <c r="C4721">
        <v>2100300025</v>
      </c>
      <c r="D4721">
        <v>6426000</v>
      </c>
      <c r="E4721" t="s">
        <v>188</v>
      </c>
      <c r="F4721">
        <v>5210010105</v>
      </c>
      <c r="G4721" s="13">
        <v>130540</v>
      </c>
      <c r="I4721" t="s">
        <v>179</v>
      </c>
      <c r="J4721" t="s">
        <v>557</v>
      </c>
      <c r="K4721" t="s">
        <v>180</v>
      </c>
      <c r="L4721">
        <v>200112584</v>
      </c>
    </row>
    <row r="4722" spans="3:12">
      <c r="C4722">
        <v>2100300025</v>
      </c>
      <c r="D4722">
        <v>6426000</v>
      </c>
      <c r="E4722" t="s">
        <v>188</v>
      </c>
      <c r="F4722">
        <v>5210010105</v>
      </c>
      <c r="G4722" s="13">
        <v>31698.75</v>
      </c>
      <c r="I4722" t="s">
        <v>179</v>
      </c>
      <c r="J4722" t="s">
        <v>557</v>
      </c>
      <c r="K4722" t="s">
        <v>180</v>
      </c>
      <c r="L4722">
        <v>200114188</v>
      </c>
    </row>
    <row r="4723" spans="3:12">
      <c r="C4723">
        <v>2100300025</v>
      </c>
      <c r="D4723">
        <v>6426000</v>
      </c>
      <c r="E4723" t="s">
        <v>188</v>
      </c>
      <c r="F4723">
        <v>5210010105</v>
      </c>
      <c r="G4723" s="13">
        <v>49220</v>
      </c>
      <c r="I4723" t="s">
        <v>179</v>
      </c>
      <c r="J4723" t="s">
        <v>557</v>
      </c>
      <c r="K4723" t="s">
        <v>180</v>
      </c>
      <c r="L4723">
        <v>200112643</v>
      </c>
    </row>
    <row r="4724" spans="3:12">
      <c r="C4724">
        <v>2100300025</v>
      </c>
      <c r="D4724">
        <v>6426000</v>
      </c>
      <c r="E4724" t="s">
        <v>188</v>
      </c>
      <c r="F4724">
        <v>5210010105</v>
      </c>
      <c r="G4724" s="13">
        <v>10694.65</v>
      </c>
      <c r="I4724" t="s">
        <v>179</v>
      </c>
      <c r="J4724" t="s">
        <v>557</v>
      </c>
      <c r="K4724" t="s">
        <v>180</v>
      </c>
      <c r="L4724">
        <v>200112585</v>
      </c>
    </row>
    <row r="4725" spans="3:12">
      <c r="C4725">
        <v>2100300025</v>
      </c>
      <c r="D4725">
        <v>6426000</v>
      </c>
      <c r="E4725" t="s">
        <v>188</v>
      </c>
      <c r="F4725">
        <v>5210010105</v>
      </c>
      <c r="G4725" s="13">
        <v>12000</v>
      </c>
      <c r="I4725" t="s">
        <v>179</v>
      </c>
      <c r="J4725" t="s">
        <v>557</v>
      </c>
      <c r="K4725" t="s">
        <v>180</v>
      </c>
      <c r="L4725">
        <v>200114189</v>
      </c>
    </row>
    <row r="4726" spans="3:12">
      <c r="C4726">
        <v>2100300025</v>
      </c>
      <c r="D4726">
        <v>6426000</v>
      </c>
      <c r="E4726" t="s">
        <v>188</v>
      </c>
      <c r="F4726">
        <v>5210010105</v>
      </c>
      <c r="G4726" s="13">
        <v>15975</v>
      </c>
      <c r="I4726" t="s">
        <v>179</v>
      </c>
      <c r="J4726" t="s">
        <v>557</v>
      </c>
      <c r="K4726" t="s">
        <v>180</v>
      </c>
      <c r="L4726">
        <v>200112586</v>
      </c>
    </row>
    <row r="4727" spans="3:12">
      <c r="C4727">
        <v>2100300025</v>
      </c>
      <c r="D4727">
        <v>6426000</v>
      </c>
      <c r="E4727" t="s">
        <v>188</v>
      </c>
      <c r="F4727">
        <v>5210010105</v>
      </c>
      <c r="G4727" s="13">
        <v>7800</v>
      </c>
      <c r="I4727" t="s">
        <v>179</v>
      </c>
      <c r="J4727" t="s">
        <v>557</v>
      </c>
      <c r="K4727" t="s">
        <v>180</v>
      </c>
      <c r="L4727">
        <v>200102845</v>
      </c>
    </row>
    <row r="4728" spans="3:12">
      <c r="C4728">
        <v>2100300025</v>
      </c>
      <c r="D4728">
        <v>6426000</v>
      </c>
      <c r="E4728" t="s">
        <v>188</v>
      </c>
      <c r="F4728">
        <v>5210010105</v>
      </c>
      <c r="G4728" s="13">
        <v>15600</v>
      </c>
      <c r="I4728" t="s">
        <v>179</v>
      </c>
      <c r="J4728" t="s">
        <v>557</v>
      </c>
      <c r="K4728" t="s">
        <v>180</v>
      </c>
      <c r="L4728">
        <v>200102846</v>
      </c>
    </row>
    <row r="4729" spans="3:12">
      <c r="C4729">
        <v>2100300025</v>
      </c>
      <c r="D4729">
        <v>6426000</v>
      </c>
      <c r="E4729" t="s">
        <v>188</v>
      </c>
      <c r="F4729">
        <v>5210010105</v>
      </c>
      <c r="G4729" s="13">
        <v>39750</v>
      </c>
      <c r="I4729" t="s">
        <v>179</v>
      </c>
      <c r="J4729" t="s">
        <v>557</v>
      </c>
      <c r="K4729" t="s">
        <v>180</v>
      </c>
      <c r="L4729">
        <v>200102847</v>
      </c>
    </row>
    <row r="4730" spans="3:12">
      <c r="C4730">
        <v>2100300025</v>
      </c>
      <c r="D4730">
        <v>6426000</v>
      </c>
      <c r="E4730" t="s">
        <v>188</v>
      </c>
      <c r="F4730">
        <v>5210010105</v>
      </c>
      <c r="G4730" s="13">
        <v>3000</v>
      </c>
      <c r="I4730" t="s">
        <v>179</v>
      </c>
      <c r="J4730" t="s">
        <v>557</v>
      </c>
      <c r="K4730" t="s">
        <v>180</v>
      </c>
      <c r="L4730">
        <v>200102848</v>
      </c>
    </row>
    <row r="4731" spans="3:12">
      <c r="C4731">
        <v>2100300025</v>
      </c>
      <c r="D4731">
        <v>6426000</v>
      </c>
      <c r="E4731" t="s">
        <v>188</v>
      </c>
      <c r="F4731">
        <v>5210010105</v>
      </c>
      <c r="G4731" s="13">
        <v>1600</v>
      </c>
      <c r="I4731" t="s">
        <v>179</v>
      </c>
      <c r="J4731" t="s">
        <v>557</v>
      </c>
      <c r="K4731" t="s">
        <v>180</v>
      </c>
      <c r="L4731">
        <v>200102849</v>
      </c>
    </row>
    <row r="4732" spans="3:12">
      <c r="C4732">
        <v>2100300025</v>
      </c>
      <c r="D4732">
        <v>6426000</v>
      </c>
      <c r="E4732" t="s">
        <v>188</v>
      </c>
      <c r="F4732">
        <v>5210010105</v>
      </c>
      <c r="G4732" s="13">
        <v>5200</v>
      </c>
      <c r="I4732" t="s">
        <v>179</v>
      </c>
      <c r="J4732" t="s">
        <v>557</v>
      </c>
      <c r="K4732" t="s">
        <v>180</v>
      </c>
      <c r="L4732">
        <v>200102850</v>
      </c>
    </row>
    <row r="4733" spans="3:12">
      <c r="C4733">
        <v>2100300025</v>
      </c>
      <c r="D4733">
        <v>6426000</v>
      </c>
      <c r="E4733" t="s">
        <v>188</v>
      </c>
      <c r="F4733">
        <v>5210010105</v>
      </c>
      <c r="G4733">
        <v>540</v>
      </c>
      <c r="I4733" t="s">
        <v>179</v>
      </c>
      <c r="J4733" t="s">
        <v>557</v>
      </c>
      <c r="K4733" t="s">
        <v>180</v>
      </c>
      <c r="L4733">
        <v>200102851</v>
      </c>
    </row>
    <row r="4734" spans="3:12">
      <c r="C4734">
        <v>2100300025</v>
      </c>
      <c r="D4734">
        <v>6426000</v>
      </c>
      <c r="E4734" t="s">
        <v>188</v>
      </c>
      <c r="F4734">
        <v>5210010105</v>
      </c>
      <c r="G4734" s="13">
        <v>16200</v>
      </c>
      <c r="I4734" t="s">
        <v>179</v>
      </c>
      <c r="J4734" t="s">
        <v>557</v>
      </c>
      <c r="K4734" t="s">
        <v>180</v>
      </c>
      <c r="L4734">
        <v>200110864</v>
      </c>
    </row>
    <row r="4735" spans="3:12">
      <c r="C4735">
        <v>2100300025</v>
      </c>
      <c r="D4735">
        <v>6426000</v>
      </c>
      <c r="E4735" t="s">
        <v>188</v>
      </c>
      <c r="F4735">
        <v>5210010105</v>
      </c>
      <c r="G4735">
        <v>725</v>
      </c>
      <c r="I4735" t="s">
        <v>179</v>
      </c>
      <c r="J4735" t="s">
        <v>557</v>
      </c>
      <c r="K4735" t="s">
        <v>180</v>
      </c>
      <c r="L4735">
        <v>200112592</v>
      </c>
    </row>
    <row r="4736" spans="3:12">
      <c r="C4736">
        <v>2100300025</v>
      </c>
      <c r="D4736">
        <v>6426000</v>
      </c>
      <c r="E4736" t="s">
        <v>188</v>
      </c>
      <c r="F4736">
        <v>5210010105</v>
      </c>
      <c r="G4736" s="13">
        <v>1680</v>
      </c>
      <c r="I4736" t="s">
        <v>179</v>
      </c>
      <c r="J4736" t="s">
        <v>557</v>
      </c>
      <c r="K4736" t="s">
        <v>180</v>
      </c>
      <c r="L4736">
        <v>200112593</v>
      </c>
    </row>
    <row r="4737" spans="3:12">
      <c r="C4737">
        <v>2100300025</v>
      </c>
      <c r="D4737">
        <v>6426000</v>
      </c>
      <c r="E4737" t="s">
        <v>188</v>
      </c>
      <c r="F4737">
        <v>5210010105</v>
      </c>
      <c r="G4737" s="13">
        <v>5100</v>
      </c>
      <c r="I4737" t="s">
        <v>179</v>
      </c>
      <c r="J4737" t="s">
        <v>557</v>
      </c>
      <c r="K4737" t="s">
        <v>180</v>
      </c>
      <c r="L4737">
        <v>200112594</v>
      </c>
    </row>
    <row r="4738" spans="3:12">
      <c r="C4738">
        <v>2100300025</v>
      </c>
      <c r="D4738">
        <v>6426000</v>
      </c>
      <c r="E4738" t="s">
        <v>188</v>
      </c>
      <c r="F4738">
        <v>5210010105</v>
      </c>
      <c r="G4738">
        <v>240</v>
      </c>
      <c r="I4738" t="s">
        <v>179</v>
      </c>
      <c r="J4738" t="s">
        <v>557</v>
      </c>
      <c r="K4738" t="s">
        <v>180</v>
      </c>
      <c r="L4738">
        <v>200112595</v>
      </c>
    </row>
    <row r="4739" spans="3:12">
      <c r="C4739">
        <v>2100300025</v>
      </c>
      <c r="D4739">
        <v>6426000</v>
      </c>
      <c r="E4739" t="s">
        <v>188</v>
      </c>
      <c r="F4739">
        <v>5210010105</v>
      </c>
      <c r="G4739" s="13">
        <v>50825</v>
      </c>
      <c r="I4739" t="s">
        <v>179</v>
      </c>
      <c r="J4739" t="s">
        <v>557</v>
      </c>
      <c r="K4739" t="s">
        <v>180</v>
      </c>
      <c r="L4739">
        <v>200110865</v>
      </c>
    </row>
    <row r="4740" spans="3:12">
      <c r="C4740">
        <v>2100300025</v>
      </c>
      <c r="D4740">
        <v>6426000</v>
      </c>
      <c r="E4740" t="s">
        <v>188</v>
      </c>
      <c r="F4740">
        <v>5210010105</v>
      </c>
      <c r="G4740" s="13">
        <v>8560</v>
      </c>
      <c r="I4740" t="s">
        <v>179</v>
      </c>
      <c r="J4740" t="s">
        <v>557</v>
      </c>
      <c r="K4740" t="s">
        <v>180</v>
      </c>
      <c r="L4740">
        <v>200110866</v>
      </c>
    </row>
    <row r="4741" spans="3:12">
      <c r="C4741">
        <v>2100300025</v>
      </c>
      <c r="D4741">
        <v>6426000</v>
      </c>
      <c r="E4741" t="s">
        <v>188</v>
      </c>
      <c r="F4741">
        <v>5210010105</v>
      </c>
      <c r="G4741" s="13">
        <v>17077.2</v>
      </c>
      <c r="I4741" t="s">
        <v>179</v>
      </c>
      <c r="J4741" t="s">
        <v>557</v>
      </c>
      <c r="K4741" t="s">
        <v>180</v>
      </c>
      <c r="L4741">
        <v>200114191</v>
      </c>
    </row>
    <row r="4742" spans="3:12">
      <c r="C4742">
        <v>2100300025</v>
      </c>
      <c r="D4742">
        <v>6426000</v>
      </c>
      <c r="E4742" t="s">
        <v>188</v>
      </c>
      <c r="F4742">
        <v>5210010105</v>
      </c>
      <c r="G4742" s="13">
        <v>22000</v>
      </c>
      <c r="I4742" t="s">
        <v>179</v>
      </c>
      <c r="J4742" t="s">
        <v>557</v>
      </c>
      <c r="K4742" t="s">
        <v>180</v>
      </c>
      <c r="L4742">
        <v>200114192</v>
      </c>
    </row>
    <row r="4743" spans="3:12">
      <c r="C4743">
        <v>2100300025</v>
      </c>
      <c r="D4743">
        <v>6426000</v>
      </c>
      <c r="E4743" t="s">
        <v>188</v>
      </c>
      <c r="F4743">
        <v>5210010105</v>
      </c>
      <c r="G4743" s="13">
        <v>13500</v>
      </c>
      <c r="I4743" t="s">
        <v>179</v>
      </c>
      <c r="J4743" t="s">
        <v>557</v>
      </c>
      <c r="K4743" t="s">
        <v>180</v>
      </c>
      <c r="L4743">
        <v>200110867</v>
      </c>
    </row>
    <row r="4744" spans="3:12">
      <c r="C4744">
        <v>2100300025</v>
      </c>
      <c r="D4744">
        <v>6426000</v>
      </c>
      <c r="E4744" t="s">
        <v>188</v>
      </c>
      <c r="F4744">
        <v>5210010105</v>
      </c>
      <c r="G4744">
        <v>464.38</v>
      </c>
      <c r="I4744" t="s">
        <v>179</v>
      </c>
      <c r="J4744" t="s">
        <v>557</v>
      </c>
      <c r="K4744" t="s">
        <v>180</v>
      </c>
      <c r="L4744">
        <v>200112645</v>
      </c>
    </row>
    <row r="4745" spans="3:12">
      <c r="C4745">
        <v>2100300025</v>
      </c>
      <c r="D4745">
        <v>6426000</v>
      </c>
      <c r="E4745" t="s">
        <v>188</v>
      </c>
      <c r="F4745">
        <v>5210010105</v>
      </c>
      <c r="G4745" s="13">
        <v>1590</v>
      </c>
      <c r="I4745" t="s">
        <v>179</v>
      </c>
      <c r="J4745" t="s">
        <v>557</v>
      </c>
      <c r="K4745" t="s">
        <v>180</v>
      </c>
      <c r="L4745">
        <v>200112646</v>
      </c>
    </row>
    <row r="4746" spans="3:12">
      <c r="C4746">
        <v>2100300025</v>
      </c>
      <c r="D4746">
        <v>6426000</v>
      </c>
      <c r="E4746" t="s">
        <v>188</v>
      </c>
      <c r="F4746">
        <v>5210010105</v>
      </c>
      <c r="G4746" s="13">
        <v>6420</v>
      </c>
      <c r="I4746" t="s">
        <v>179</v>
      </c>
      <c r="J4746" t="s">
        <v>557</v>
      </c>
      <c r="K4746" t="s">
        <v>180</v>
      </c>
      <c r="L4746">
        <v>200112647</v>
      </c>
    </row>
    <row r="4747" spans="3:12">
      <c r="C4747">
        <v>2100300025</v>
      </c>
      <c r="D4747">
        <v>6426000</v>
      </c>
      <c r="E4747" t="s">
        <v>188</v>
      </c>
      <c r="F4747">
        <v>5210010105</v>
      </c>
      <c r="G4747" s="13">
        <v>1712</v>
      </c>
      <c r="I4747" t="s">
        <v>179</v>
      </c>
      <c r="J4747" t="s">
        <v>557</v>
      </c>
      <c r="K4747" t="s">
        <v>180</v>
      </c>
      <c r="L4747">
        <v>200112648</v>
      </c>
    </row>
    <row r="4748" spans="3:12">
      <c r="C4748">
        <v>2100300025</v>
      </c>
      <c r="D4748">
        <v>6426000</v>
      </c>
      <c r="E4748" t="s">
        <v>188</v>
      </c>
      <c r="F4748">
        <v>5210010105</v>
      </c>
      <c r="G4748" s="13">
        <v>6840</v>
      </c>
      <c r="I4748" t="s">
        <v>179</v>
      </c>
      <c r="J4748" t="s">
        <v>557</v>
      </c>
      <c r="K4748" t="s">
        <v>180</v>
      </c>
      <c r="L4748">
        <v>200112649</v>
      </c>
    </row>
    <row r="4749" spans="3:12">
      <c r="C4749">
        <v>2100300025</v>
      </c>
      <c r="D4749">
        <v>6426000</v>
      </c>
      <c r="E4749" t="s">
        <v>188</v>
      </c>
      <c r="F4749">
        <v>5210010105</v>
      </c>
      <c r="G4749">
        <v>246</v>
      </c>
      <c r="I4749" t="s">
        <v>179</v>
      </c>
      <c r="J4749" t="s">
        <v>557</v>
      </c>
      <c r="K4749" t="s">
        <v>180</v>
      </c>
      <c r="L4749">
        <v>200112650</v>
      </c>
    </row>
    <row r="4750" spans="3:12">
      <c r="C4750">
        <v>2100300025</v>
      </c>
      <c r="D4750">
        <v>6426000</v>
      </c>
      <c r="E4750" t="s">
        <v>188</v>
      </c>
      <c r="F4750">
        <v>5210010105</v>
      </c>
      <c r="G4750" s="13">
        <v>3177.9</v>
      </c>
      <c r="I4750" t="s">
        <v>179</v>
      </c>
      <c r="J4750" t="s">
        <v>557</v>
      </c>
      <c r="K4750" t="s">
        <v>180</v>
      </c>
      <c r="L4750">
        <v>200112651</v>
      </c>
    </row>
    <row r="4751" spans="3:12">
      <c r="C4751">
        <v>2100300025</v>
      </c>
      <c r="D4751">
        <v>6426000</v>
      </c>
      <c r="E4751" t="s">
        <v>188</v>
      </c>
      <c r="F4751">
        <v>5210010105</v>
      </c>
      <c r="G4751">
        <v>800</v>
      </c>
      <c r="I4751" t="s">
        <v>179</v>
      </c>
      <c r="J4751" t="s">
        <v>557</v>
      </c>
      <c r="K4751" t="s">
        <v>180</v>
      </c>
      <c r="L4751">
        <v>200112652</v>
      </c>
    </row>
    <row r="4752" spans="3:12">
      <c r="C4752">
        <v>2100300025</v>
      </c>
      <c r="D4752">
        <v>6426000</v>
      </c>
      <c r="E4752" t="s">
        <v>188</v>
      </c>
      <c r="F4752">
        <v>5210010105</v>
      </c>
      <c r="G4752">
        <v>650</v>
      </c>
      <c r="I4752" t="s">
        <v>179</v>
      </c>
      <c r="J4752" t="s">
        <v>865</v>
      </c>
      <c r="K4752" t="s">
        <v>180</v>
      </c>
      <c r="L4752">
        <v>200119106</v>
      </c>
    </row>
    <row r="4753" spans="3:12">
      <c r="C4753">
        <v>2100300025</v>
      </c>
      <c r="D4753">
        <v>6426000</v>
      </c>
      <c r="E4753" t="s">
        <v>188</v>
      </c>
      <c r="F4753">
        <v>5210010105</v>
      </c>
      <c r="G4753" s="13">
        <v>3477.5</v>
      </c>
      <c r="I4753" t="s">
        <v>179</v>
      </c>
      <c r="J4753" t="s">
        <v>865</v>
      </c>
      <c r="K4753" t="s">
        <v>180</v>
      </c>
      <c r="L4753">
        <v>200119107</v>
      </c>
    </row>
    <row r="4754" spans="3:12">
      <c r="C4754">
        <v>2100300025</v>
      </c>
      <c r="D4754">
        <v>6426000</v>
      </c>
      <c r="E4754" t="s">
        <v>188</v>
      </c>
      <c r="F4754">
        <v>5210010105</v>
      </c>
      <c r="G4754" s="13">
        <v>2996</v>
      </c>
      <c r="I4754" t="s">
        <v>179</v>
      </c>
      <c r="J4754" t="s">
        <v>865</v>
      </c>
      <c r="K4754" t="s">
        <v>180</v>
      </c>
      <c r="L4754">
        <v>200119108</v>
      </c>
    </row>
    <row r="4755" spans="3:12">
      <c r="C4755">
        <v>2100300025</v>
      </c>
      <c r="D4755">
        <v>6426000</v>
      </c>
      <c r="E4755" t="s">
        <v>188</v>
      </c>
      <c r="F4755">
        <v>5210010105</v>
      </c>
      <c r="G4755">
        <v>267.5</v>
      </c>
      <c r="I4755" t="s">
        <v>179</v>
      </c>
      <c r="J4755" t="s">
        <v>865</v>
      </c>
      <c r="K4755" t="s">
        <v>180</v>
      </c>
      <c r="L4755">
        <v>200119109</v>
      </c>
    </row>
    <row r="4756" spans="3:12">
      <c r="C4756">
        <v>2100300025</v>
      </c>
      <c r="D4756">
        <v>6426000</v>
      </c>
      <c r="E4756" t="s">
        <v>188</v>
      </c>
      <c r="F4756">
        <v>5210010105</v>
      </c>
      <c r="G4756">
        <v>800</v>
      </c>
      <c r="I4756" t="s">
        <v>179</v>
      </c>
      <c r="J4756" t="s">
        <v>865</v>
      </c>
      <c r="K4756" t="s">
        <v>180</v>
      </c>
      <c r="L4756">
        <v>200119110</v>
      </c>
    </row>
    <row r="4757" spans="3:12">
      <c r="C4757">
        <v>2100300025</v>
      </c>
      <c r="D4757">
        <v>6426000</v>
      </c>
      <c r="E4757" t="s">
        <v>188</v>
      </c>
      <c r="F4757">
        <v>5210010105</v>
      </c>
      <c r="G4757">
        <v>156.80000000000001</v>
      </c>
      <c r="I4757" t="s">
        <v>179</v>
      </c>
      <c r="J4757" t="s">
        <v>865</v>
      </c>
      <c r="K4757" t="s">
        <v>180</v>
      </c>
      <c r="L4757">
        <v>200119111</v>
      </c>
    </row>
    <row r="4758" spans="3:12">
      <c r="C4758">
        <v>2100300025</v>
      </c>
      <c r="D4758">
        <v>6426000</v>
      </c>
      <c r="E4758" t="s">
        <v>188</v>
      </c>
      <c r="F4758">
        <v>5210010105</v>
      </c>
      <c r="G4758">
        <v>520</v>
      </c>
      <c r="I4758" t="s">
        <v>179</v>
      </c>
      <c r="J4758" t="s">
        <v>865</v>
      </c>
      <c r="K4758" t="s">
        <v>180</v>
      </c>
      <c r="L4758">
        <v>200119112</v>
      </c>
    </row>
    <row r="4759" spans="3:12">
      <c r="C4759">
        <v>2100300025</v>
      </c>
      <c r="D4759">
        <v>6426000</v>
      </c>
      <c r="E4759" t="s">
        <v>188</v>
      </c>
      <c r="F4759">
        <v>5210010105</v>
      </c>
      <c r="G4759" s="13">
        <v>15000</v>
      </c>
      <c r="I4759" t="s">
        <v>179</v>
      </c>
      <c r="J4759" t="s">
        <v>865</v>
      </c>
      <c r="K4759" t="s">
        <v>180</v>
      </c>
      <c r="L4759">
        <v>200119113</v>
      </c>
    </row>
    <row r="4760" spans="3:12">
      <c r="C4760">
        <v>2100300025</v>
      </c>
      <c r="D4760">
        <v>6426000</v>
      </c>
      <c r="E4760" t="s">
        <v>188</v>
      </c>
      <c r="F4760">
        <v>5210010105</v>
      </c>
      <c r="G4760">
        <v>90</v>
      </c>
      <c r="I4760" t="s">
        <v>179</v>
      </c>
      <c r="J4760" t="s">
        <v>865</v>
      </c>
      <c r="K4760" t="s">
        <v>180</v>
      </c>
      <c r="L4760">
        <v>200119114</v>
      </c>
    </row>
    <row r="4761" spans="3:12">
      <c r="C4761">
        <v>2100300025</v>
      </c>
      <c r="D4761">
        <v>6426000</v>
      </c>
      <c r="E4761" t="s">
        <v>188</v>
      </c>
      <c r="F4761">
        <v>5210010105</v>
      </c>
      <c r="G4761" s="13">
        <v>20196.25</v>
      </c>
      <c r="I4761" t="s">
        <v>179</v>
      </c>
      <c r="J4761" t="s">
        <v>865</v>
      </c>
      <c r="K4761" t="s">
        <v>180</v>
      </c>
      <c r="L4761">
        <v>200118913</v>
      </c>
    </row>
    <row r="4762" spans="3:12">
      <c r="C4762">
        <v>2100300025</v>
      </c>
      <c r="D4762">
        <v>6426000</v>
      </c>
      <c r="E4762" t="s">
        <v>188</v>
      </c>
      <c r="F4762">
        <v>5210010105</v>
      </c>
      <c r="G4762">
        <v>915.92</v>
      </c>
      <c r="I4762" t="s">
        <v>179</v>
      </c>
      <c r="J4762" t="s">
        <v>865</v>
      </c>
      <c r="K4762" t="s">
        <v>180</v>
      </c>
      <c r="L4762">
        <v>200118914</v>
      </c>
    </row>
    <row r="4763" spans="3:12">
      <c r="C4763">
        <v>2100300025</v>
      </c>
      <c r="D4763">
        <v>6426000</v>
      </c>
      <c r="E4763" t="s">
        <v>188</v>
      </c>
      <c r="F4763">
        <v>5210010105</v>
      </c>
      <c r="G4763" s="13">
        <v>4365.6000000000004</v>
      </c>
      <c r="I4763" t="s">
        <v>179</v>
      </c>
      <c r="J4763" t="s">
        <v>865</v>
      </c>
      <c r="K4763" t="s">
        <v>180</v>
      </c>
      <c r="L4763">
        <v>200119215</v>
      </c>
    </row>
    <row r="4764" spans="3:12">
      <c r="C4764">
        <v>2100300025</v>
      </c>
      <c r="D4764">
        <v>6426000</v>
      </c>
      <c r="E4764" t="s">
        <v>188</v>
      </c>
      <c r="F4764">
        <v>5210010105</v>
      </c>
      <c r="G4764" s="13">
        <v>9244.7999999999993</v>
      </c>
      <c r="I4764" t="s">
        <v>179</v>
      </c>
      <c r="J4764" t="s">
        <v>865</v>
      </c>
      <c r="K4764" t="s">
        <v>180</v>
      </c>
      <c r="L4764">
        <v>200119216</v>
      </c>
    </row>
    <row r="4765" spans="3:12">
      <c r="C4765">
        <v>2100300025</v>
      </c>
      <c r="D4765">
        <v>6426000</v>
      </c>
      <c r="E4765" t="s">
        <v>188</v>
      </c>
      <c r="F4765">
        <v>5210010105</v>
      </c>
      <c r="G4765" s="13">
        <v>11877</v>
      </c>
      <c r="I4765" t="s">
        <v>179</v>
      </c>
      <c r="J4765" t="s">
        <v>865</v>
      </c>
      <c r="K4765" t="s">
        <v>180</v>
      </c>
      <c r="L4765">
        <v>200119217</v>
      </c>
    </row>
    <row r="4766" spans="3:12">
      <c r="C4766">
        <v>2100300025</v>
      </c>
      <c r="D4766">
        <v>6426000</v>
      </c>
      <c r="E4766" t="s">
        <v>188</v>
      </c>
      <c r="F4766">
        <v>5210010105</v>
      </c>
      <c r="G4766" s="13">
        <v>54862.11</v>
      </c>
      <c r="I4766" t="s">
        <v>179</v>
      </c>
      <c r="J4766" t="s">
        <v>865</v>
      </c>
      <c r="K4766" t="s">
        <v>180</v>
      </c>
      <c r="L4766">
        <v>200118915</v>
      </c>
    </row>
    <row r="4767" spans="3:12">
      <c r="C4767">
        <v>2100300025</v>
      </c>
      <c r="D4767">
        <v>6426000</v>
      </c>
      <c r="E4767" t="s">
        <v>188</v>
      </c>
      <c r="F4767">
        <v>5210010105</v>
      </c>
      <c r="G4767" s="13">
        <v>14445</v>
      </c>
      <c r="I4767" t="s">
        <v>179</v>
      </c>
      <c r="J4767" t="s">
        <v>865</v>
      </c>
      <c r="K4767" t="s">
        <v>180</v>
      </c>
      <c r="L4767">
        <v>200115186</v>
      </c>
    </row>
    <row r="4768" spans="3:12">
      <c r="C4768">
        <v>2100300025</v>
      </c>
      <c r="D4768">
        <v>6426000</v>
      </c>
      <c r="E4768" t="s">
        <v>188</v>
      </c>
      <c r="F4768">
        <v>5210010105</v>
      </c>
      <c r="G4768" s="13">
        <v>10673.25</v>
      </c>
      <c r="I4768" t="s">
        <v>179</v>
      </c>
      <c r="J4768" t="s">
        <v>865</v>
      </c>
      <c r="K4768" t="s">
        <v>180</v>
      </c>
      <c r="L4768">
        <v>200115187</v>
      </c>
    </row>
    <row r="4769" spans="3:12">
      <c r="C4769">
        <v>2100300025</v>
      </c>
      <c r="D4769">
        <v>6426000</v>
      </c>
      <c r="E4769" t="s">
        <v>188</v>
      </c>
      <c r="F4769">
        <v>5210010105</v>
      </c>
      <c r="G4769" s="13">
        <v>10272</v>
      </c>
      <c r="I4769" t="s">
        <v>179</v>
      </c>
      <c r="J4769" t="s">
        <v>865</v>
      </c>
      <c r="K4769" t="s">
        <v>180</v>
      </c>
      <c r="L4769">
        <v>200115188</v>
      </c>
    </row>
    <row r="4770" spans="3:12">
      <c r="C4770">
        <v>2100300025</v>
      </c>
      <c r="D4770">
        <v>6426000</v>
      </c>
      <c r="E4770" t="s">
        <v>188</v>
      </c>
      <c r="F4770">
        <v>5210010105</v>
      </c>
      <c r="G4770" s="13">
        <v>32613.599999999999</v>
      </c>
      <c r="I4770" t="s">
        <v>179</v>
      </c>
      <c r="J4770" t="s">
        <v>865</v>
      </c>
      <c r="K4770" t="s">
        <v>180</v>
      </c>
      <c r="L4770">
        <v>200115189</v>
      </c>
    </row>
    <row r="4771" spans="3:12">
      <c r="C4771">
        <v>2100300025</v>
      </c>
      <c r="D4771">
        <v>6426000</v>
      </c>
      <c r="E4771" t="s">
        <v>188</v>
      </c>
      <c r="F4771">
        <v>5210010105</v>
      </c>
      <c r="G4771" s="13">
        <v>20330</v>
      </c>
      <c r="I4771" t="s">
        <v>179</v>
      </c>
      <c r="J4771" t="s">
        <v>865</v>
      </c>
      <c r="K4771" t="s">
        <v>180</v>
      </c>
      <c r="L4771">
        <v>200115190</v>
      </c>
    </row>
    <row r="4772" spans="3:12">
      <c r="C4772">
        <v>2100300025</v>
      </c>
      <c r="D4772">
        <v>6426000</v>
      </c>
      <c r="E4772" t="s">
        <v>188</v>
      </c>
      <c r="F4772">
        <v>5210010105</v>
      </c>
      <c r="G4772" s="13">
        <v>15836</v>
      </c>
      <c r="I4772" t="s">
        <v>179</v>
      </c>
      <c r="J4772" t="s">
        <v>865</v>
      </c>
      <c r="K4772" t="s">
        <v>180</v>
      </c>
      <c r="L4772">
        <v>200115191</v>
      </c>
    </row>
    <row r="4773" spans="3:12">
      <c r="C4773">
        <v>2100300025</v>
      </c>
      <c r="D4773">
        <v>6426000</v>
      </c>
      <c r="E4773" t="s">
        <v>188</v>
      </c>
      <c r="F4773">
        <v>5210010105</v>
      </c>
      <c r="G4773" s="13">
        <v>1926</v>
      </c>
      <c r="I4773" t="s">
        <v>179</v>
      </c>
      <c r="J4773" t="s">
        <v>865</v>
      </c>
      <c r="K4773" t="s">
        <v>180</v>
      </c>
      <c r="L4773">
        <v>200119218</v>
      </c>
    </row>
    <row r="4774" spans="3:12">
      <c r="C4774">
        <v>2100300025</v>
      </c>
      <c r="D4774">
        <v>6426000</v>
      </c>
      <c r="E4774" t="s">
        <v>188</v>
      </c>
      <c r="F4774">
        <v>5210010105</v>
      </c>
      <c r="G4774" s="13">
        <v>21132.5</v>
      </c>
      <c r="I4774" t="s">
        <v>179</v>
      </c>
      <c r="J4774" t="s">
        <v>865</v>
      </c>
      <c r="K4774" t="s">
        <v>180</v>
      </c>
      <c r="L4774">
        <v>200119219</v>
      </c>
    </row>
    <row r="4775" spans="3:12">
      <c r="C4775">
        <v>2100300025</v>
      </c>
      <c r="D4775">
        <v>6426000</v>
      </c>
      <c r="E4775" t="s">
        <v>188</v>
      </c>
      <c r="F4775">
        <v>5210010105</v>
      </c>
      <c r="G4775" s="13">
        <v>5313.23</v>
      </c>
      <c r="I4775" t="s">
        <v>179</v>
      </c>
      <c r="J4775" t="s">
        <v>865</v>
      </c>
      <c r="K4775" t="s">
        <v>180</v>
      </c>
      <c r="L4775">
        <v>200119220</v>
      </c>
    </row>
    <row r="4776" spans="3:12">
      <c r="C4776">
        <v>2100300025</v>
      </c>
      <c r="D4776">
        <v>6426000</v>
      </c>
      <c r="E4776" t="s">
        <v>188</v>
      </c>
      <c r="F4776">
        <v>5210010105</v>
      </c>
      <c r="G4776" s="13">
        <v>5542.6</v>
      </c>
      <c r="I4776" t="s">
        <v>179</v>
      </c>
      <c r="J4776" t="s">
        <v>865</v>
      </c>
      <c r="K4776" t="s">
        <v>180</v>
      </c>
      <c r="L4776">
        <v>200119221</v>
      </c>
    </row>
    <row r="4777" spans="3:12">
      <c r="C4777">
        <v>2100300025</v>
      </c>
      <c r="D4777">
        <v>6426000</v>
      </c>
      <c r="E4777" t="s">
        <v>188</v>
      </c>
      <c r="F4777">
        <v>5210010105</v>
      </c>
      <c r="G4777" s="13">
        <v>24075</v>
      </c>
      <c r="I4777" t="s">
        <v>179</v>
      </c>
      <c r="J4777" t="s">
        <v>865</v>
      </c>
      <c r="K4777" t="s">
        <v>180</v>
      </c>
      <c r="L4777">
        <v>200119222</v>
      </c>
    </row>
    <row r="4778" spans="3:12">
      <c r="C4778">
        <v>2100300025</v>
      </c>
      <c r="D4778">
        <v>6426000</v>
      </c>
      <c r="E4778" t="s">
        <v>188</v>
      </c>
      <c r="F4778">
        <v>5210010105</v>
      </c>
      <c r="G4778" s="13">
        <v>2921.1</v>
      </c>
      <c r="I4778" t="s">
        <v>179</v>
      </c>
      <c r="J4778" t="s">
        <v>865</v>
      </c>
      <c r="K4778" t="s">
        <v>180</v>
      </c>
      <c r="L4778">
        <v>200119223</v>
      </c>
    </row>
    <row r="4779" spans="3:12">
      <c r="C4779">
        <v>2100300025</v>
      </c>
      <c r="D4779">
        <v>6426000</v>
      </c>
      <c r="E4779" t="s">
        <v>188</v>
      </c>
      <c r="F4779">
        <v>5210010105</v>
      </c>
      <c r="G4779" s="13">
        <v>3295.6</v>
      </c>
      <c r="I4779" t="s">
        <v>179</v>
      </c>
      <c r="J4779" t="s">
        <v>865</v>
      </c>
      <c r="K4779" t="s">
        <v>180</v>
      </c>
      <c r="L4779">
        <v>200119224</v>
      </c>
    </row>
    <row r="4780" spans="3:12">
      <c r="C4780">
        <v>2100300025</v>
      </c>
      <c r="D4780">
        <v>6426000</v>
      </c>
      <c r="E4780" t="s">
        <v>188</v>
      </c>
      <c r="F4780">
        <v>5210010105</v>
      </c>
      <c r="G4780" s="13">
        <v>4375</v>
      </c>
      <c r="I4780" t="s">
        <v>179</v>
      </c>
      <c r="J4780" t="s">
        <v>865</v>
      </c>
      <c r="K4780" t="s">
        <v>180</v>
      </c>
      <c r="L4780">
        <v>200119115</v>
      </c>
    </row>
    <row r="4781" spans="3:12">
      <c r="C4781">
        <v>2100300025</v>
      </c>
      <c r="D4781">
        <v>6426000</v>
      </c>
      <c r="E4781" t="s">
        <v>188</v>
      </c>
      <c r="F4781">
        <v>5210010105</v>
      </c>
      <c r="G4781">
        <v>600</v>
      </c>
      <c r="I4781" t="s">
        <v>179</v>
      </c>
      <c r="J4781" t="s">
        <v>865</v>
      </c>
      <c r="K4781" t="s">
        <v>180</v>
      </c>
      <c r="L4781">
        <v>200119116</v>
      </c>
    </row>
    <row r="4782" spans="3:12">
      <c r="C4782">
        <v>2100300025</v>
      </c>
      <c r="D4782">
        <v>6426000</v>
      </c>
      <c r="E4782" t="s">
        <v>188</v>
      </c>
      <c r="F4782">
        <v>5210010105</v>
      </c>
      <c r="G4782" s="13">
        <v>7500</v>
      </c>
      <c r="I4782" t="s">
        <v>179</v>
      </c>
      <c r="J4782" t="s">
        <v>865</v>
      </c>
      <c r="K4782" t="s">
        <v>180</v>
      </c>
      <c r="L4782">
        <v>200119117</v>
      </c>
    </row>
    <row r="4783" spans="3:12">
      <c r="C4783">
        <v>2100300025</v>
      </c>
      <c r="D4783">
        <v>6426000</v>
      </c>
      <c r="E4783" t="s">
        <v>188</v>
      </c>
      <c r="F4783">
        <v>5210010105</v>
      </c>
      <c r="G4783" s="13">
        <v>6000</v>
      </c>
      <c r="I4783" t="s">
        <v>179</v>
      </c>
      <c r="J4783" t="s">
        <v>865</v>
      </c>
      <c r="K4783" t="s">
        <v>180</v>
      </c>
      <c r="L4783">
        <v>200119225</v>
      </c>
    </row>
    <row r="4784" spans="3:12">
      <c r="C4784">
        <v>2100300025</v>
      </c>
      <c r="D4784">
        <v>6426000</v>
      </c>
      <c r="E4784" t="s">
        <v>188</v>
      </c>
      <c r="F4784">
        <v>5210010105</v>
      </c>
      <c r="G4784">
        <v>450</v>
      </c>
      <c r="I4784" t="s">
        <v>179</v>
      </c>
      <c r="J4784" t="s">
        <v>865</v>
      </c>
      <c r="K4784" t="s">
        <v>180</v>
      </c>
      <c r="L4784">
        <v>200119226</v>
      </c>
    </row>
    <row r="4785" spans="3:12">
      <c r="C4785">
        <v>2100300025</v>
      </c>
      <c r="D4785">
        <v>6426000</v>
      </c>
      <c r="E4785" t="s">
        <v>188</v>
      </c>
      <c r="F4785">
        <v>5210010105</v>
      </c>
      <c r="G4785" s="13">
        <v>1250</v>
      </c>
      <c r="I4785" t="s">
        <v>179</v>
      </c>
      <c r="J4785" t="s">
        <v>865</v>
      </c>
      <c r="K4785" t="s">
        <v>180</v>
      </c>
      <c r="L4785">
        <v>200119227</v>
      </c>
    </row>
    <row r="4786" spans="3:12">
      <c r="C4786">
        <v>2100300025</v>
      </c>
      <c r="D4786">
        <v>6426000</v>
      </c>
      <c r="E4786" t="s">
        <v>188</v>
      </c>
      <c r="F4786">
        <v>5210010105</v>
      </c>
      <c r="G4786" s="13">
        <v>3720</v>
      </c>
      <c r="I4786" t="s">
        <v>179</v>
      </c>
      <c r="J4786" t="s">
        <v>865</v>
      </c>
      <c r="K4786" t="s">
        <v>180</v>
      </c>
      <c r="L4786">
        <v>200115192</v>
      </c>
    </row>
    <row r="4787" spans="3:12">
      <c r="C4787">
        <v>2100300025</v>
      </c>
      <c r="D4787">
        <v>6426000</v>
      </c>
      <c r="E4787" t="s">
        <v>188</v>
      </c>
      <c r="F4787">
        <v>5210010105</v>
      </c>
      <c r="G4787" s="13">
        <v>1740</v>
      </c>
      <c r="I4787" t="s">
        <v>179</v>
      </c>
      <c r="J4787" t="s">
        <v>865</v>
      </c>
      <c r="K4787" t="s">
        <v>180</v>
      </c>
      <c r="L4787">
        <v>200115193</v>
      </c>
    </row>
    <row r="4788" spans="3:12">
      <c r="C4788">
        <v>2100300025</v>
      </c>
      <c r="D4788">
        <v>6426000</v>
      </c>
      <c r="E4788" t="s">
        <v>188</v>
      </c>
      <c r="F4788">
        <v>5210010105</v>
      </c>
      <c r="G4788" s="13">
        <v>1280</v>
      </c>
      <c r="I4788" t="s">
        <v>179</v>
      </c>
      <c r="J4788" t="s">
        <v>865</v>
      </c>
      <c r="K4788" t="s">
        <v>180</v>
      </c>
      <c r="L4788">
        <v>200115194</v>
      </c>
    </row>
    <row r="4789" spans="3:12">
      <c r="C4789">
        <v>2100300025</v>
      </c>
      <c r="D4789">
        <v>6426000</v>
      </c>
      <c r="E4789" t="s">
        <v>188</v>
      </c>
      <c r="F4789">
        <v>5210010105</v>
      </c>
      <c r="G4789" s="13">
        <v>8100</v>
      </c>
      <c r="I4789" t="s">
        <v>179</v>
      </c>
      <c r="J4789" t="s">
        <v>865</v>
      </c>
      <c r="K4789" t="s">
        <v>180</v>
      </c>
      <c r="L4789">
        <v>200115195</v>
      </c>
    </row>
    <row r="4790" spans="3:12">
      <c r="C4790">
        <v>2100300025</v>
      </c>
      <c r="D4790">
        <v>6426000</v>
      </c>
      <c r="E4790" t="s">
        <v>188</v>
      </c>
      <c r="F4790">
        <v>5210010105</v>
      </c>
      <c r="G4790" s="13">
        <v>5800</v>
      </c>
      <c r="I4790" t="s">
        <v>179</v>
      </c>
      <c r="J4790" t="s">
        <v>865</v>
      </c>
      <c r="K4790" t="s">
        <v>180</v>
      </c>
      <c r="L4790">
        <v>200115196</v>
      </c>
    </row>
    <row r="4791" spans="3:12">
      <c r="C4791">
        <v>2100300025</v>
      </c>
      <c r="D4791">
        <v>6426000</v>
      </c>
      <c r="E4791" t="s">
        <v>188</v>
      </c>
      <c r="F4791">
        <v>5210010105</v>
      </c>
      <c r="G4791" s="13">
        <v>73200</v>
      </c>
      <c r="I4791" t="s">
        <v>179</v>
      </c>
      <c r="J4791" t="s">
        <v>865</v>
      </c>
      <c r="K4791" t="s">
        <v>180</v>
      </c>
      <c r="L4791">
        <v>200119307</v>
      </c>
    </row>
    <row r="4792" spans="3:12">
      <c r="C4792">
        <v>2100300025</v>
      </c>
      <c r="D4792">
        <v>6426000</v>
      </c>
      <c r="E4792" t="s">
        <v>188</v>
      </c>
      <c r="F4792">
        <v>5210010105</v>
      </c>
      <c r="G4792" s="13">
        <v>3800</v>
      </c>
      <c r="I4792" t="s">
        <v>179</v>
      </c>
      <c r="J4792" t="s">
        <v>865</v>
      </c>
      <c r="K4792" t="s">
        <v>180</v>
      </c>
      <c r="L4792">
        <v>200058967</v>
      </c>
    </row>
    <row r="4793" spans="3:12">
      <c r="C4793">
        <v>2100300025</v>
      </c>
      <c r="D4793">
        <v>6426000</v>
      </c>
      <c r="E4793" t="s">
        <v>188</v>
      </c>
      <c r="F4793">
        <v>5210010105</v>
      </c>
      <c r="G4793" s="13">
        <v>2400</v>
      </c>
      <c r="I4793" t="s">
        <v>179</v>
      </c>
      <c r="J4793" t="s">
        <v>865</v>
      </c>
      <c r="K4793" t="s">
        <v>180</v>
      </c>
      <c r="L4793">
        <v>200119202</v>
      </c>
    </row>
    <row r="4794" spans="3:12">
      <c r="C4794">
        <v>2100300025</v>
      </c>
      <c r="D4794">
        <v>6426000</v>
      </c>
      <c r="E4794" t="s">
        <v>188</v>
      </c>
      <c r="F4794">
        <v>5210010105</v>
      </c>
      <c r="G4794" s="13">
        <v>300000</v>
      </c>
      <c r="I4794" t="s">
        <v>179</v>
      </c>
      <c r="J4794" t="s">
        <v>865</v>
      </c>
      <c r="K4794" t="s">
        <v>180</v>
      </c>
      <c r="L4794">
        <v>200118050</v>
      </c>
    </row>
    <row r="4795" spans="3:12">
      <c r="C4795">
        <v>2100300025</v>
      </c>
      <c r="D4795">
        <v>6426000</v>
      </c>
      <c r="E4795" t="s">
        <v>188</v>
      </c>
      <c r="F4795">
        <v>5210010105</v>
      </c>
      <c r="G4795" s="13">
        <v>69420</v>
      </c>
      <c r="I4795" t="s">
        <v>179</v>
      </c>
      <c r="J4795" t="s">
        <v>865</v>
      </c>
      <c r="K4795" t="s">
        <v>180</v>
      </c>
      <c r="L4795">
        <v>200117514</v>
      </c>
    </row>
    <row r="4796" spans="3:12">
      <c r="C4796">
        <v>2100300025</v>
      </c>
      <c r="D4796">
        <v>6426000</v>
      </c>
      <c r="E4796" t="s">
        <v>188</v>
      </c>
      <c r="F4796">
        <v>5210010105</v>
      </c>
      <c r="G4796" s="13">
        <v>15000</v>
      </c>
      <c r="I4796" t="s">
        <v>179</v>
      </c>
      <c r="J4796" t="s">
        <v>865</v>
      </c>
      <c r="K4796" t="s">
        <v>180</v>
      </c>
      <c r="L4796">
        <v>200058037</v>
      </c>
    </row>
    <row r="4797" spans="3:12">
      <c r="C4797">
        <v>2100300025</v>
      </c>
      <c r="D4797">
        <v>6426000</v>
      </c>
      <c r="E4797" t="s">
        <v>188</v>
      </c>
      <c r="F4797">
        <v>5210010105</v>
      </c>
      <c r="G4797" s="13">
        <v>66000</v>
      </c>
      <c r="I4797" t="s">
        <v>179</v>
      </c>
      <c r="J4797" t="s">
        <v>866</v>
      </c>
      <c r="K4797" t="s">
        <v>180</v>
      </c>
      <c r="L4797">
        <v>200125891</v>
      </c>
    </row>
    <row r="4798" spans="3:12">
      <c r="C4798">
        <v>2100300025</v>
      </c>
      <c r="D4798">
        <v>6426000</v>
      </c>
      <c r="E4798" t="s">
        <v>188</v>
      </c>
      <c r="F4798">
        <v>5210010105</v>
      </c>
      <c r="G4798" s="13">
        <v>16580</v>
      </c>
      <c r="I4798" t="s">
        <v>179</v>
      </c>
      <c r="J4798" t="s">
        <v>985</v>
      </c>
      <c r="K4798" t="s">
        <v>180</v>
      </c>
      <c r="L4798">
        <v>200122009</v>
      </c>
    </row>
    <row r="4799" spans="3:12">
      <c r="C4799">
        <v>2100300025</v>
      </c>
      <c r="D4799">
        <v>6426000</v>
      </c>
      <c r="E4799" t="s">
        <v>188</v>
      </c>
      <c r="F4799">
        <v>5210010105</v>
      </c>
      <c r="G4799" s="13">
        <v>24800</v>
      </c>
      <c r="I4799" t="s">
        <v>179</v>
      </c>
      <c r="J4799" t="s">
        <v>985</v>
      </c>
      <c r="K4799" t="s">
        <v>180</v>
      </c>
      <c r="L4799">
        <v>200122010</v>
      </c>
    </row>
    <row r="4800" spans="3:12">
      <c r="C4800">
        <v>2100300025</v>
      </c>
      <c r="D4800">
        <v>6426000</v>
      </c>
      <c r="E4800" t="s">
        <v>188</v>
      </c>
      <c r="F4800">
        <v>5210010105</v>
      </c>
      <c r="G4800" s="13">
        <v>15387.5</v>
      </c>
      <c r="I4800" t="s">
        <v>179</v>
      </c>
      <c r="J4800" t="s">
        <v>985</v>
      </c>
      <c r="K4800" t="s">
        <v>180</v>
      </c>
      <c r="L4800">
        <v>200121940</v>
      </c>
    </row>
    <row r="4801" spans="3:12">
      <c r="C4801">
        <v>2100300025</v>
      </c>
      <c r="D4801">
        <v>6426000</v>
      </c>
      <c r="E4801" t="s">
        <v>188</v>
      </c>
      <c r="F4801">
        <v>5210010105</v>
      </c>
      <c r="G4801" s="13">
        <v>936571</v>
      </c>
      <c r="I4801" t="s">
        <v>179</v>
      </c>
      <c r="J4801" t="s">
        <v>985</v>
      </c>
      <c r="K4801" t="s">
        <v>180</v>
      </c>
      <c r="L4801">
        <v>200121820</v>
      </c>
    </row>
    <row r="4802" spans="3:12">
      <c r="C4802">
        <v>2100300025</v>
      </c>
      <c r="D4802">
        <v>6426000</v>
      </c>
      <c r="E4802" t="s">
        <v>188</v>
      </c>
      <c r="F4802">
        <v>5210010105</v>
      </c>
      <c r="G4802" s="13">
        <v>219992</v>
      </c>
      <c r="I4802" t="s">
        <v>179</v>
      </c>
      <c r="J4802" t="s">
        <v>986</v>
      </c>
      <c r="K4802" t="s">
        <v>180</v>
      </c>
      <c r="L4802">
        <v>200126215</v>
      </c>
    </row>
    <row r="4803" spans="3:12">
      <c r="C4803">
        <v>2100300025</v>
      </c>
      <c r="D4803">
        <v>6426000</v>
      </c>
      <c r="E4803" t="s">
        <v>188</v>
      </c>
      <c r="F4803">
        <v>5210010105</v>
      </c>
      <c r="G4803" s="13">
        <v>15000</v>
      </c>
      <c r="I4803" t="s">
        <v>179</v>
      </c>
      <c r="J4803" t="s">
        <v>986</v>
      </c>
      <c r="K4803" t="s">
        <v>180</v>
      </c>
      <c r="L4803">
        <v>200126217</v>
      </c>
    </row>
    <row r="4804" spans="3:12">
      <c r="C4804">
        <v>2100300025</v>
      </c>
      <c r="D4804">
        <v>6426000</v>
      </c>
      <c r="E4804" t="s">
        <v>188</v>
      </c>
      <c r="F4804">
        <v>5210010105</v>
      </c>
      <c r="G4804" s="13">
        <v>31250</v>
      </c>
      <c r="I4804" t="s">
        <v>179</v>
      </c>
      <c r="J4804" t="s">
        <v>986</v>
      </c>
      <c r="K4804" t="s">
        <v>180</v>
      </c>
      <c r="L4804">
        <v>200126302</v>
      </c>
    </row>
    <row r="4805" spans="3:12">
      <c r="C4805">
        <v>2100300025</v>
      </c>
      <c r="D4805">
        <v>6426000</v>
      </c>
      <c r="E4805" t="s">
        <v>188</v>
      </c>
      <c r="F4805">
        <v>5210010105</v>
      </c>
      <c r="G4805" s="13">
        <v>18400</v>
      </c>
      <c r="I4805" t="s">
        <v>179</v>
      </c>
      <c r="J4805" t="s">
        <v>986</v>
      </c>
      <c r="K4805" t="s">
        <v>180</v>
      </c>
      <c r="L4805">
        <v>200126128</v>
      </c>
    </row>
    <row r="4806" spans="3:12">
      <c r="C4806">
        <v>2100300025</v>
      </c>
      <c r="D4806">
        <v>6426000</v>
      </c>
      <c r="E4806" t="s">
        <v>188</v>
      </c>
      <c r="F4806">
        <v>5210010105</v>
      </c>
      <c r="G4806" s="13">
        <v>21000</v>
      </c>
      <c r="I4806" t="s">
        <v>179</v>
      </c>
      <c r="J4806" t="s">
        <v>986</v>
      </c>
      <c r="K4806" t="s">
        <v>180</v>
      </c>
      <c r="L4806">
        <v>200126221</v>
      </c>
    </row>
    <row r="4807" spans="3:12">
      <c r="C4807">
        <v>2100300025</v>
      </c>
      <c r="D4807">
        <v>6426000</v>
      </c>
      <c r="E4807" t="s">
        <v>188</v>
      </c>
      <c r="F4807">
        <v>5210010105</v>
      </c>
      <c r="G4807" s="13">
        <v>32073.25</v>
      </c>
      <c r="I4807" t="s">
        <v>179</v>
      </c>
      <c r="J4807" t="s">
        <v>986</v>
      </c>
      <c r="K4807" t="s">
        <v>180</v>
      </c>
      <c r="L4807">
        <v>200126129</v>
      </c>
    </row>
    <row r="4808" spans="3:12">
      <c r="C4808">
        <v>2100300025</v>
      </c>
      <c r="D4808">
        <v>6426000</v>
      </c>
      <c r="E4808" t="s">
        <v>188</v>
      </c>
      <c r="F4808">
        <v>5210010105</v>
      </c>
      <c r="G4808" s="13">
        <v>493999</v>
      </c>
      <c r="I4808" t="s">
        <v>179</v>
      </c>
      <c r="J4808" t="s">
        <v>986</v>
      </c>
      <c r="K4808" t="s">
        <v>180</v>
      </c>
      <c r="L4808">
        <v>200126224</v>
      </c>
    </row>
    <row r="4809" spans="3:12">
      <c r="C4809">
        <v>2100300025</v>
      </c>
      <c r="D4809">
        <v>6426000</v>
      </c>
      <c r="E4809" t="s">
        <v>188</v>
      </c>
      <c r="F4809">
        <v>5210010105</v>
      </c>
      <c r="G4809" s="13">
        <v>7150</v>
      </c>
      <c r="I4809" t="s">
        <v>179</v>
      </c>
      <c r="J4809" t="s">
        <v>986</v>
      </c>
      <c r="K4809" t="s">
        <v>180</v>
      </c>
      <c r="L4809">
        <v>200126225</v>
      </c>
    </row>
    <row r="4810" spans="3:12">
      <c r="C4810">
        <v>2100300025</v>
      </c>
      <c r="D4810">
        <v>6426000</v>
      </c>
      <c r="E4810" t="s">
        <v>188</v>
      </c>
      <c r="F4810">
        <v>5210010105</v>
      </c>
      <c r="G4810" s="13">
        <v>7500</v>
      </c>
      <c r="I4810" t="s">
        <v>179</v>
      </c>
      <c r="J4810" t="s">
        <v>986</v>
      </c>
      <c r="K4810" t="s">
        <v>180</v>
      </c>
      <c r="L4810">
        <v>200126227</v>
      </c>
    </row>
    <row r="4811" spans="3:12">
      <c r="C4811">
        <v>2100300025</v>
      </c>
      <c r="D4811">
        <v>6426000</v>
      </c>
      <c r="E4811" t="s">
        <v>188</v>
      </c>
      <c r="F4811">
        <v>5210010105</v>
      </c>
      <c r="G4811" s="13">
        <v>12840</v>
      </c>
      <c r="I4811" t="s">
        <v>179</v>
      </c>
      <c r="J4811" t="s">
        <v>863</v>
      </c>
      <c r="K4811" t="s">
        <v>180</v>
      </c>
      <c r="L4811">
        <v>200123893</v>
      </c>
    </row>
    <row r="4812" spans="3:12">
      <c r="C4812">
        <v>2100300025</v>
      </c>
      <c r="D4812">
        <v>6426000</v>
      </c>
      <c r="E4812" t="s">
        <v>188</v>
      </c>
      <c r="F4812">
        <v>5210010105</v>
      </c>
      <c r="G4812" s="13">
        <v>1600</v>
      </c>
      <c r="I4812" t="s">
        <v>179</v>
      </c>
      <c r="J4812" t="s">
        <v>866</v>
      </c>
      <c r="K4812" t="s">
        <v>180</v>
      </c>
      <c r="L4812">
        <v>200125021</v>
      </c>
    </row>
    <row r="4813" spans="3:12">
      <c r="C4813">
        <v>2100300025</v>
      </c>
      <c r="D4813">
        <v>6426000</v>
      </c>
      <c r="E4813" t="s">
        <v>188</v>
      </c>
      <c r="F4813">
        <v>5210010105</v>
      </c>
      <c r="G4813" s="13">
        <v>8650</v>
      </c>
      <c r="I4813" t="s">
        <v>179</v>
      </c>
      <c r="J4813" t="s">
        <v>866</v>
      </c>
      <c r="K4813" t="s">
        <v>180</v>
      </c>
      <c r="L4813">
        <v>200125022</v>
      </c>
    </row>
    <row r="4814" spans="3:12">
      <c r="C4814">
        <v>2100300025</v>
      </c>
      <c r="D4814">
        <v>6426000</v>
      </c>
      <c r="E4814" t="s">
        <v>188</v>
      </c>
      <c r="F4814">
        <v>5210010105</v>
      </c>
      <c r="G4814">
        <v>120</v>
      </c>
      <c r="I4814" t="s">
        <v>179</v>
      </c>
      <c r="J4814" t="s">
        <v>866</v>
      </c>
      <c r="K4814" t="s">
        <v>180</v>
      </c>
      <c r="L4814">
        <v>200124779</v>
      </c>
    </row>
    <row r="4815" spans="3:12">
      <c r="C4815">
        <v>2100300025</v>
      </c>
      <c r="D4815">
        <v>6426000</v>
      </c>
      <c r="E4815" t="s">
        <v>188</v>
      </c>
      <c r="F4815">
        <v>5210010105</v>
      </c>
      <c r="G4815" s="13">
        <v>1235</v>
      </c>
      <c r="I4815" t="s">
        <v>179</v>
      </c>
      <c r="J4815" t="s">
        <v>866</v>
      </c>
      <c r="K4815" t="s">
        <v>180</v>
      </c>
      <c r="L4815">
        <v>200124780</v>
      </c>
    </row>
    <row r="4816" spans="3:12">
      <c r="C4816">
        <v>2100300025</v>
      </c>
      <c r="D4816">
        <v>6426000</v>
      </c>
      <c r="E4816" t="s">
        <v>188</v>
      </c>
      <c r="F4816">
        <v>5210010105</v>
      </c>
      <c r="G4816" s="13">
        <v>403349</v>
      </c>
      <c r="I4816" t="s">
        <v>179</v>
      </c>
      <c r="J4816" t="s">
        <v>867</v>
      </c>
      <c r="K4816" t="s">
        <v>180</v>
      </c>
      <c r="L4816">
        <v>200115143</v>
      </c>
    </row>
    <row r="4817" spans="3:12">
      <c r="C4817">
        <v>2100300025</v>
      </c>
      <c r="D4817">
        <v>6426000</v>
      </c>
      <c r="E4817" t="s">
        <v>188</v>
      </c>
      <c r="F4817">
        <v>5210010105</v>
      </c>
      <c r="G4817" s="13">
        <v>2600</v>
      </c>
      <c r="I4817" t="s">
        <v>179</v>
      </c>
      <c r="J4817" t="s">
        <v>986</v>
      </c>
      <c r="K4817" t="s">
        <v>180</v>
      </c>
      <c r="L4817">
        <v>200126305</v>
      </c>
    </row>
    <row r="4818" spans="3:12">
      <c r="C4818">
        <v>2100300025</v>
      </c>
      <c r="D4818">
        <v>6426000</v>
      </c>
      <c r="E4818" t="s">
        <v>188</v>
      </c>
      <c r="F4818">
        <v>5210010105</v>
      </c>
      <c r="G4818">
        <v>340</v>
      </c>
      <c r="I4818" t="s">
        <v>179</v>
      </c>
      <c r="J4818" t="s">
        <v>986</v>
      </c>
      <c r="K4818" t="s">
        <v>180</v>
      </c>
      <c r="L4818">
        <v>200125517</v>
      </c>
    </row>
    <row r="4819" spans="3:12">
      <c r="C4819">
        <v>2100300025</v>
      </c>
      <c r="D4819">
        <v>6426000</v>
      </c>
      <c r="E4819" t="s">
        <v>188</v>
      </c>
      <c r="F4819">
        <v>5210010105</v>
      </c>
      <c r="G4819">
        <v>525</v>
      </c>
      <c r="I4819" t="s">
        <v>179</v>
      </c>
      <c r="J4819" t="s">
        <v>986</v>
      </c>
      <c r="K4819" t="s">
        <v>180</v>
      </c>
      <c r="L4819">
        <v>200125518</v>
      </c>
    </row>
    <row r="4820" spans="3:12">
      <c r="C4820">
        <v>2100300025</v>
      </c>
      <c r="D4820">
        <v>6426000</v>
      </c>
      <c r="E4820" t="s">
        <v>188</v>
      </c>
      <c r="F4820">
        <v>5210010105</v>
      </c>
      <c r="G4820" s="13">
        <v>3500</v>
      </c>
      <c r="I4820" t="s">
        <v>179</v>
      </c>
      <c r="J4820" t="s">
        <v>986</v>
      </c>
      <c r="K4820" t="s">
        <v>180</v>
      </c>
      <c r="L4820">
        <v>200125519</v>
      </c>
    </row>
    <row r="4821" spans="3:12">
      <c r="C4821">
        <v>2100300025</v>
      </c>
      <c r="D4821">
        <v>6426000</v>
      </c>
      <c r="E4821" t="s">
        <v>188</v>
      </c>
      <c r="F4821">
        <v>5210010105</v>
      </c>
      <c r="G4821" s="13">
        <v>7500</v>
      </c>
      <c r="I4821" t="s">
        <v>179</v>
      </c>
      <c r="J4821" t="s">
        <v>986</v>
      </c>
      <c r="K4821" t="s">
        <v>180</v>
      </c>
      <c r="L4821">
        <v>200125520</v>
      </c>
    </row>
    <row r="4822" spans="3:12">
      <c r="C4822">
        <v>2100300025</v>
      </c>
      <c r="D4822">
        <v>6426000</v>
      </c>
      <c r="E4822" t="s">
        <v>188</v>
      </c>
      <c r="F4822">
        <v>5210010105</v>
      </c>
      <c r="G4822" s="13">
        <v>1840</v>
      </c>
      <c r="I4822" t="s">
        <v>179</v>
      </c>
      <c r="J4822" t="s">
        <v>869</v>
      </c>
      <c r="K4822" t="s">
        <v>180</v>
      </c>
      <c r="L4822">
        <v>200126108</v>
      </c>
    </row>
    <row r="4823" spans="3:12">
      <c r="C4823">
        <v>2100300025</v>
      </c>
      <c r="D4823">
        <v>6426000</v>
      </c>
      <c r="E4823" t="s">
        <v>188</v>
      </c>
      <c r="F4823">
        <v>5210010105</v>
      </c>
      <c r="G4823" s="13">
        <v>1100</v>
      </c>
      <c r="I4823" t="s">
        <v>179</v>
      </c>
      <c r="J4823" t="s">
        <v>869</v>
      </c>
      <c r="K4823" t="s">
        <v>180</v>
      </c>
      <c r="L4823">
        <v>200126109</v>
      </c>
    </row>
    <row r="4824" spans="3:12">
      <c r="C4824">
        <v>2100300025</v>
      </c>
      <c r="D4824">
        <v>6426000</v>
      </c>
      <c r="E4824" t="s">
        <v>188</v>
      </c>
      <c r="F4824">
        <v>5210010105</v>
      </c>
      <c r="G4824">
        <v>700</v>
      </c>
      <c r="I4824" t="s">
        <v>179</v>
      </c>
      <c r="J4824" t="s">
        <v>869</v>
      </c>
      <c r="K4824" t="s">
        <v>180</v>
      </c>
      <c r="L4824">
        <v>200126110</v>
      </c>
    </row>
    <row r="4825" spans="3:12">
      <c r="C4825">
        <v>2100300025</v>
      </c>
      <c r="D4825">
        <v>6426000</v>
      </c>
      <c r="E4825" t="s">
        <v>188</v>
      </c>
      <c r="F4825">
        <v>5210010105</v>
      </c>
      <c r="G4825" s="13">
        <v>1500</v>
      </c>
      <c r="I4825" t="s">
        <v>179</v>
      </c>
      <c r="J4825" t="s">
        <v>869</v>
      </c>
      <c r="K4825" t="s">
        <v>180</v>
      </c>
      <c r="L4825">
        <v>200126111</v>
      </c>
    </row>
    <row r="4826" spans="3:12">
      <c r="C4826">
        <v>2100300025</v>
      </c>
      <c r="D4826">
        <v>6426000</v>
      </c>
      <c r="E4826" t="s">
        <v>188</v>
      </c>
      <c r="F4826">
        <v>5210010105</v>
      </c>
      <c r="G4826" s="13">
        <v>30495</v>
      </c>
      <c r="I4826" t="s">
        <v>179</v>
      </c>
      <c r="J4826" t="s">
        <v>869</v>
      </c>
      <c r="K4826" t="s">
        <v>180</v>
      </c>
      <c r="L4826">
        <v>200125222</v>
      </c>
    </row>
    <row r="4827" spans="3:12">
      <c r="C4827">
        <v>2100300025</v>
      </c>
      <c r="D4827">
        <v>6426000</v>
      </c>
      <c r="E4827" t="s">
        <v>188</v>
      </c>
      <c r="F4827">
        <v>5210010105</v>
      </c>
      <c r="G4827" s="13">
        <v>91800</v>
      </c>
      <c r="I4827" t="s">
        <v>179</v>
      </c>
      <c r="J4827" t="s">
        <v>980</v>
      </c>
      <c r="K4827" t="s">
        <v>180</v>
      </c>
      <c r="L4827">
        <v>200121123</v>
      </c>
    </row>
    <row r="4828" spans="3:12">
      <c r="C4828">
        <v>2100300025</v>
      </c>
      <c r="D4828">
        <v>6426000</v>
      </c>
      <c r="E4828" t="s">
        <v>188</v>
      </c>
      <c r="F4828">
        <v>5210010105</v>
      </c>
      <c r="G4828" s="13">
        <v>3900</v>
      </c>
      <c r="I4828" t="s">
        <v>179</v>
      </c>
      <c r="J4828" t="s">
        <v>988</v>
      </c>
      <c r="K4828" t="s">
        <v>180</v>
      </c>
      <c r="L4828">
        <v>200128003</v>
      </c>
    </row>
    <row r="4829" spans="3:12">
      <c r="C4829">
        <v>2100300025</v>
      </c>
      <c r="D4829">
        <v>6426000</v>
      </c>
      <c r="E4829" t="s">
        <v>188</v>
      </c>
      <c r="F4829">
        <v>5210010105</v>
      </c>
      <c r="G4829">
        <v>480</v>
      </c>
      <c r="I4829" t="s">
        <v>179</v>
      </c>
      <c r="J4829" t="s">
        <v>988</v>
      </c>
      <c r="K4829" t="s">
        <v>180</v>
      </c>
      <c r="L4829">
        <v>200128004</v>
      </c>
    </row>
    <row r="4830" spans="3:12">
      <c r="C4830">
        <v>2100300025</v>
      </c>
      <c r="D4830">
        <v>6426000</v>
      </c>
      <c r="E4830" t="s">
        <v>188</v>
      </c>
      <c r="F4830">
        <v>5210010105</v>
      </c>
      <c r="G4830" s="13">
        <v>2000</v>
      </c>
      <c r="I4830" t="s">
        <v>179</v>
      </c>
      <c r="J4830" t="s">
        <v>870</v>
      </c>
      <c r="K4830" t="s">
        <v>180</v>
      </c>
      <c r="L4830">
        <v>200126828</v>
      </c>
    </row>
    <row r="4831" spans="3:12">
      <c r="C4831">
        <v>2100300025</v>
      </c>
      <c r="D4831">
        <v>6426000</v>
      </c>
      <c r="E4831" t="s">
        <v>188</v>
      </c>
      <c r="F4831">
        <v>5210010105</v>
      </c>
      <c r="G4831" s="13">
        <v>18480.400000000001</v>
      </c>
      <c r="I4831" t="s">
        <v>179</v>
      </c>
      <c r="J4831" t="s">
        <v>870</v>
      </c>
      <c r="K4831" t="s">
        <v>180</v>
      </c>
      <c r="L4831">
        <v>200126829</v>
      </c>
    </row>
    <row r="4832" spans="3:12">
      <c r="C4832">
        <v>2100300025</v>
      </c>
      <c r="D4832">
        <v>6426000</v>
      </c>
      <c r="E4832" t="s">
        <v>188</v>
      </c>
      <c r="F4832">
        <v>5210010105</v>
      </c>
      <c r="G4832" s="13">
        <v>43335</v>
      </c>
      <c r="I4832" t="s">
        <v>179</v>
      </c>
      <c r="J4832" t="s">
        <v>591</v>
      </c>
      <c r="K4832" t="s">
        <v>180</v>
      </c>
      <c r="L4832">
        <v>200126977</v>
      </c>
    </row>
    <row r="4833" spans="3:12">
      <c r="C4833">
        <v>2100300025</v>
      </c>
      <c r="D4833">
        <v>6426000</v>
      </c>
      <c r="E4833" t="s">
        <v>188</v>
      </c>
      <c r="F4833">
        <v>5210010105</v>
      </c>
      <c r="G4833" s="13">
        <v>7500</v>
      </c>
      <c r="I4833" t="s">
        <v>179</v>
      </c>
      <c r="J4833" t="s">
        <v>865</v>
      </c>
      <c r="K4833" t="s">
        <v>180</v>
      </c>
      <c r="L4833">
        <v>200118303</v>
      </c>
    </row>
    <row r="4834" spans="3:12">
      <c r="C4834">
        <v>2100300025</v>
      </c>
      <c r="D4834">
        <v>6426000</v>
      </c>
      <c r="E4834" t="s">
        <v>188</v>
      </c>
      <c r="F4834">
        <v>5210010105</v>
      </c>
      <c r="G4834" s="13">
        <v>19600</v>
      </c>
      <c r="I4834" t="s">
        <v>179</v>
      </c>
      <c r="J4834" t="s">
        <v>865</v>
      </c>
      <c r="K4834" t="s">
        <v>180</v>
      </c>
      <c r="L4834">
        <v>200115300</v>
      </c>
    </row>
    <row r="4835" spans="3:12">
      <c r="C4835">
        <v>2100300025</v>
      </c>
      <c r="D4835">
        <v>6426000</v>
      </c>
      <c r="E4835" t="s">
        <v>188</v>
      </c>
      <c r="F4835">
        <v>5210010105</v>
      </c>
      <c r="G4835" s="13">
        <v>133250</v>
      </c>
      <c r="I4835" t="s">
        <v>179</v>
      </c>
      <c r="J4835" t="s">
        <v>865</v>
      </c>
      <c r="K4835" t="s">
        <v>180</v>
      </c>
      <c r="L4835">
        <v>200114913</v>
      </c>
    </row>
    <row r="4836" spans="3:12">
      <c r="C4836">
        <v>2100300025</v>
      </c>
      <c r="D4836">
        <v>6426000</v>
      </c>
      <c r="E4836" t="s">
        <v>188</v>
      </c>
      <c r="F4836">
        <v>5210010105</v>
      </c>
      <c r="G4836" s="13">
        <v>86250</v>
      </c>
      <c r="I4836" t="s">
        <v>179</v>
      </c>
      <c r="J4836" t="s">
        <v>865</v>
      </c>
      <c r="K4836" t="s">
        <v>180</v>
      </c>
      <c r="L4836">
        <v>200115165</v>
      </c>
    </row>
    <row r="4837" spans="3:12">
      <c r="C4837">
        <v>2100300025</v>
      </c>
      <c r="D4837">
        <v>6426000</v>
      </c>
      <c r="E4837" t="s">
        <v>188</v>
      </c>
      <c r="F4837">
        <v>5210010105</v>
      </c>
      <c r="G4837" s="13">
        <v>7120</v>
      </c>
      <c r="I4837" t="s">
        <v>179</v>
      </c>
      <c r="J4837" t="s">
        <v>865</v>
      </c>
      <c r="K4837" t="s">
        <v>180</v>
      </c>
      <c r="L4837">
        <v>200114914</v>
      </c>
    </row>
    <row r="4838" spans="3:12">
      <c r="C4838">
        <v>2100300025</v>
      </c>
      <c r="D4838">
        <v>6426000</v>
      </c>
      <c r="E4838" t="s">
        <v>188</v>
      </c>
      <c r="F4838">
        <v>5210010105</v>
      </c>
      <c r="G4838" s="13">
        <v>13560</v>
      </c>
      <c r="I4838" t="s">
        <v>179</v>
      </c>
      <c r="J4838" t="s">
        <v>865</v>
      </c>
      <c r="K4838" t="s">
        <v>180</v>
      </c>
      <c r="L4838">
        <v>200115388</v>
      </c>
    </row>
    <row r="4839" spans="3:12">
      <c r="C4839">
        <v>2100300025</v>
      </c>
      <c r="D4839">
        <v>6426000</v>
      </c>
      <c r="E4839" t="s">
        <v>188</v>
      </c>
      <c r="F4839">
        <v>5210010105</v>
      </c>
      <c r="G4839" s="13">
        <v>242200</v>
      </c>
      <c r="I4839" t="s">
        <v>179</v>
      </c>
      <c r="J4839" t="s">
        <v>865</v>
      </c>
      <c r="K4839" t="s">
        <v>180</v>
      </c>
      <c r="L4839">
        <v>200113196</v>
      </c>
    </row>
    <row r="4840" spans="3:12">
      <c r="C4840">
        <v>2100300025</v>
      </c>
      <c r="D4840">
        <v>6426000</v>
      </c>
      <c r="E4840" t="s">
        <v>188</v>
      </c>
      <c r="F4840">
        <v>5210010105</v>
      </c>
      <c r="G4840" s="13">
        <v>60000</v>
      </c>
      <c r="I4840" t="s">
        <v>179</v>
      </c>
      <c r="J4840" t="s">
        <v>865</v>
      </c>
      <c r="K4840" t="s">
        <v>180</v>
      </c>
      <c r="L4840">
        <v>200115390</v>
      </c>
    </row>
    <row r="4841" spans="3:12">
      <c r="C4841">
        <v>2100300025</v>
      </c>
      <c r="D4841">
        <v>6426000</v>
      </c>
      <c r="E4841" t="s">
        <v>188</v>
      </c>
      <c r="F4841">
        <v>5210010105</v>
      </c>
      <c r="G4841" s="13">
        <v>53350.2</v>
      </c>
      <c r="I4841" t="s">
        <v>179</v>
      </c>
      <c r="J4841" t="s">
        <v>865</v>
      </c>
      <c r="K4841" t="s">
        <v>180</v>
      </c>
      <c r="L4841">
        <v>200114915</v>
      </c>
    </row>
    <row r="4842" spans="3:12">
      <c r="C4842">
        <v>2100300025</v>
      </c>
      <c r="D4842">
        <v>6426000</v>
      </c>
      <c r="E4842" t="s">
        <v>188</v>
      </c>
      <c r="F4842">
        <v>5210010105</v>
      </c>
      <c r="G4842" s="13">
        <v>59500</v>
      </c>
      <c r="I4842" t="s">
        <v>179</v>
      </c>
      <c r="J4842" t="s">
        <v>865</v>
      </c>
      <c r="K4842" t="s">
        <v>180</v>
      </c>
      <c r="L4842">
        <v>200115166</v>
      </c>
    </row>
    <row r="4843" spans="3:12">
      <c r="C4843">
        <v>2100300025</v>
      </c>
      <c r="D4843">
        <v>6426000</v>
      </c>
      <c r="E4843" t="s">
        <v>188</v>
      </c>
      <c r="F4843">
        <v>5210010105</v>
      </c>
      <c r="G4843" s="13">
        <v>5000</v>
      </c>
      <c r="I4843" t="s">
        <v>179</v>
      </c>
      <c r="J4843" t="s">
        <v>865</v>
      </c>
      <c r="K4843" t="s">
        <v>180</v>
      </c>
      <c r="L4843">
        <v>200115392</v>
      </c>
    </row>
    <row r="4844" spans="3:12">
      <c r="C4844">
        <v>2100300025</v>
      </c>
      <c r="D4844">
        <v>6426000</v>
      </c>
      <c r="E4844" t="s">
        <v>188</v>
      </c>
      <c r="F4844">
        <v>5210010105</v>
      </c>
      <c r="G4844" s="13">
        <v>41000</v>
      </c>
      <c r="I4844" t="s">
        <v>179</v>
      </c>
      <c r="J4844" t="s">
        <v>865</v>
      </c>
      <c r="K4844" t="s">
        <v>180</v>
      </c>
      <c r="L4844">
        <v>200113197</v>
      </c>
    </row>
    <row r="4845" spans="3:12">
      <c r="C4845">
        <v>2100300025</v>
      </c>
      <c r="D4845">
        <v>6426000</v>
      </c>
      <c r="E4845" t="s">
        <v>188</v>
      </c>
      <c r="F4845">
        <v>5210010105</v>
      </c>
      <c r="G4845" s="13">
        <v>8500</v>
      </c>
      <c r="I4845" t="s">
        <v>179</v>
      </c>
      <c r="J4845" t="s">
        <v>865</v>
      </c>
      <c r="K4845" t="s">
        <v>180</v>
      </c>
      <c r="L4845">
        <v>200115393</v>
      </c>
    </row>
    <row r="4846" spans="3:12">
      <c r="C4846">
        <v>2100300025</v>
      </c>
      <c r="D4846">
        <v>6426000</v>
      </c>
      <c r="E4846" t="s">
        <v>188</v>
      </c>
      <c r="F4846">
        <v>5210010105</v>
      </c>
      <c r="G4846" s="13">
        <v>8988</v>
      </c>
      <c r="I4846" t="s">
        <v>179</v>
      </c>
      <c r="J4846" t="s">
        <v>866</v>
      </c>
      <c r="K4846" t="s">
        <v>180</v>
      </c>
      <c r="L4846">
        <v>200126173</v>
      </c>
    </row>
    <row r="4847" spans="3:12">
      <c r="C4847">
        <v>2100300025</v>
      </c>
      <c r="D4847">
        <v>6426000</v>
      </c>
      <c r="E4847" t="s">
        <v>188</v>
      </c>
      <c r="F4847">
        <v>5210010105</v>
      </c>
      <c r="G4847">
        <v>175.58</v>
      </c>
      <c r="I4847" t="s">
        <v>179</v>
      </c>
      <c r="J4847" t="s">
        <v>866</v>
      </c>
      <c r="K4847" t="s">
        <v>180</v>
      </c>
      <c r="L4847">
        <v>200126174</v>
      </c>
    </row>
    <row r="4848" spans="3:12">
      <c r="C4848">
        <v>2100300025</v>
      </c>
      <c r="D4848">
        <v>6426000</v>
      </c>
      <c r="E4848" t="s">
        <v>188</v>
      </c>
      <c r="F4848">
        <v>5210010105</v>
      </c>
      <c r="G4848">
        <v>204.37</v>
      </c>
      <c r="I4848" t="s">
        <v>179</v>
      </c>
      <c r="J4848" t="s">
        <v>866</v>
      </c>
      <c r="K4848" t="s">
        <v>180</v>
      </c>
      <c r="L4848">
        <v>200126175</v>
      </c>
    </row>
    <row r="4849" spans="3:12">
      <c r="C4849">
        <v>2100300025</v>
      </c>
      <c r="D4849">
        <v>6426000</v>
      </c>
      <c r="E4849" t="s">
        <v>188</v>
      </c>
      <c r="F4849">
        <v>5210010105</v>
      </c>
      <c r="G4849">
        <v>200</v>
      </c>
      <c r="I4849" t="s">
        <v>179</v>
      </c>
      <c r="J4849" t="s">
        <v>866</v>
      </c>
      <c r="K4849" t="s">
        <v>180</v>
      </c>
      <c r="L4849">
        <v>200126176</v>
      </c>
    </row>
    <row r="4850" spans="3:12">
      <c r="C4850">
        <v>2100300025</v>
      </c>
      <c r="D4850">
        <v>6426000</v>
      </c>
      <c r="E4850" t="s">
        <v>188</v>
      </c>
      <c r="F4850">
        <v>5210010105</v>
      </c>
      <c r="G4850" s="13">
        <v>2200</v>
      </c>
      <c r="I4850" t="s">
        <v>179</v>
      </c>
      <c r="J4850" t="s">
        <v>866</v>
      </c>
      <c r="K4850" t="s">
        <v>180</v>
      </c>
      <c r="L4850">
        <v>200126177</v>
      </c>
    </row>
    <row r="4851" spans="3:12">
      <c r="C4851">
        <v>2100300025</v>
      </c>
      <c r="D4851">
        <v>6426000</v>
      </c>
      <c r="E4851" t="s">
        <v>188</v>
      </c>
      <c r="F4851">
        <v>5210010105</v>
      </c>
      <c r="G4851">
        <v>128.9</v>
      </c>
      <c r="I4851" t="s">
        <v>179</v>
      </c>
      <c r="J4851" t="s">
        <v>866</v>
      </c>
      <c r="K4851" t="s">
        <v>180</v>
      </c>
      <c r="L4851">
        <v>200126178</v>
      </c>
    </row>
    <row r="4852" spans="3:12">
      <c r="C4852">
        <v>2100300025</v>
      </c>
      <c r="D4852">
        <v>6426000</v>
      </c>
      <c r="E4852" t="s">
        <v>188</v>
      </c>
      <c r="F4852">
        <v>5210010105</v>
      </c>
      <c r="G4852">
        <v>96.3</v>
      </c>
      <c r="I4852" t="s">
        <v>179</v>
      </c>
      <c r="J4852" t="s">
        <v>866</v>
      </c>
      <c r="K4852" t="s">
        <v>180</v>
      </c>
      <c r="L4852">
        <v>200126179</v>
      </c>
    </row>
    <row r="4853" spans="3:12">
      <c r="C4853">
        <v>2100300025</v>
      </c>
      <c r="D4853">
        <v>6426000</v>
      </c>
      <c r="E4853" t="s">
        <v>188</v>
      </c>
      <c r="F4853">
        <v>5210010105</v>
      </c>
      <c r="G4853" s="13">
        <v>6840</v>
      </c>
      <c r="I4853" t="s">
        <v>179</v>
      </c>
      <c r="J4853" t="s">
        <v>866</v>
      </c>
      <c r="K4853" t="s">
        <v>180</v>
      </c>
      <c r="L4853">
        <v>200126180</v>
      </c>
    </row>
    <row r="4854" spans="3:12">
      <c r="C4854">
        <v>2100300025</v>
      </c>
      <c r="D4854">
        <v>6426000</v>
      </c>
      <c r="E4854" t="s">
        <v>188</v>
      </c>
      <c r="F4854">
        <v>5210010105</v>
      </c>
      <c r="G4854" s="13">
        <v>8646</v>
      </c>
      <c r="I4854" t="s">
        <v>179</v>
      </c>
      <c r="J4854" t="s">
        <v>866</v>
      </c>
      <c r="K4854" t="s">
        <v>180</v>
      </c>
      <c r="L4854">
        <v>200125545</v>
      </c>
    </row>
    <row r="4855" spans="3:12">
      <c r="C4855">
        <v>2100300025</v>
      </c>
      <c r="D4855">
        <v>6426000</v>
      </c>
      <c r="E4855" t="s">
        <v>188</v>
      </c>
      <c r="F4855">
        <v>5210010105</v>
      </c>
      <c r="G4855" s="13">
        <v>9000</v>
      </c>
      <c r="I4855" t="s">
        <v>179</v>
      </c>
      <c r="J4855" t="s">
        <v>866</v>
      </c>
      <c r="K4855" t="s">
        <v>180</v>
      </c>
      <c r="L4855">
        <v>200126921</v>
      </c>
    </row>
    <row r="4856" spans="3:12">
      <c r="C4856">
        <v>2100300025</v>
      </c>
      <c r="D4856">
        <v>6426000</v>
      </c>
      <c r="E4856" t="s">
        <v>188</v>
      </c>
      <c r="F4856">
        <v>5210010105</v>
      </c>
      <c r="G4856">
        <v>750</v>
      </c>
      <c r="I4856" t="s">
        <v>179</v>
      </c>
      <c r="J4856" t="s">
        <v>866</v>
      </c>
      <c r="K4856" t="s">
        <v>180</v>
      </c>
      <c r="L4856">
        <v>200126922</v>
      </c>
    </row>
    <row r="4857" spans="3:12">
      <c r="C4857">
        <v>2100300025</v>
      </c>
      <c r="D4857">
        <v>6426000</v>
      </c>
      <c r="E4857" t="s">
        <v>188</v>
      </c>
      <c r="F4857">
        <v>5210010105</v>
      </c>
      <c r="G4857" s="13">
        <v>31458</v>
      </c>
      <c r="I4857" t="s">
        <v>179</v>
      </c>
      <c r="J4857" t="s">
        <v>866</v>
      </c>
      <c r="K4857" t="s">
        <v>180</v>
      </c>
      <c r="L4857">
        <v>200094444</v>
      </c>
    </row>
    <row r="4858" spans="3:12">
      <c r="C4858">
        <v>2100300025</v>
      </c>
      <c r="D4858">
        <v>6426000</v>
      </c>
      <c r="E4858" t="s">
        <v>188</v>
      </c>
      <c r="F4858">
        <v>5210010105</v>
      </c>
      <c r="G4858" s="13">
        <v>3787.8</v>
      </c>
      <c r="I4858" t="s">
        <v>179</v>
      </c>
      <c r="J4858" t="s">
        <v>866</v>
      </c>
      <c r="K4858" t="s">
        <v>180</v>
      </c>
      <c r="L4858">
        <v>200126327</v>
      </c>
    </row>
    <row r="4859" spans="3:12">
      <c r="C4859">
        <v>2100300025</v>
      </c>
      <c r="D4859">
        <v>6426000</v>
      </c>
      <c r="E4859" t="s">
        <v>188</v>
      </c>
      <c r="F4859">
        <v>5210010105</v>
      </c>
      <c r="G4859" s="13">
        <v>3531</v>
      </c>
      <c r="I4859" t="s">
        <v>179</v>
      </c>
      <c r="J4859" t="s">
        <v>866</v>
      </c>
      <c r="K4859" t="s">
        <v>180</v>
      </c>
      <c r="L4859">
        <v>200126328</v>
      </c>
    </row>
    <row r="4860" spans="3:12">
      <c r="C4860">
        <v>2100300025</v>
      </c>
      <c r="D4860">
        <v>6426000</v>
      </c>
      <c r="E4860" t="s">
        <v>188</v>
      </c>
      <c r="F4860">
        <v>5210010105</v>
      </c>
      <c r="G4860" s="13">
        <v>4750.8</v>
      </c>
      <c r="I4860" t="s">
        <v>179</v>
      </c>
      <c r="J4860" t="s">
        <v>866</v>
      </c>
      <c r="K4860" t="s">
        <v>180</v>
      </c>
      <c r="L4860">
        <v>200126329</v>
      </c>
    </row>
    <row r="4861" spans="3:12">
      <c r="C4861">
        <v>2100300025</v>
      </c>
      <c r="D4861">
        <v>6426000</v>
      </c>
      <c r="E4861" t="s">
        <v>188</v>
      </c>
      <c r="F4861">
        <v>5210010105</v>
      </c>
      <c r="G4861" s="13">
        <v>17376.8</v>
      </c>
      <c r="I4861" t="s">
        <v>179</v>
      </c>
      <c r="J4861" t="s">
        <v>866</v>
      </c>
      <c r="K4861" t="s">
        <v>180</v>
      </c>
      <c r="L4861">
        <v>200126330</v>
      </c>
    </row>
    <row r="4862" spans="3:12">
      <c r="C4862">
        <v>2100300025</v>
      </c>
      <c r="D4862">
        <v>6426000</v>
      </c>
      <c r="E4862" t="s">
        <v>188</v>
      </c>
      <c r="F4862">
        <v>5210010105</v>
      </c>
      <c r="G4862" s="13">
        <v>203501.16</v>
      </c>
      <c r="I4862" t="s">
        <v>179</v>
      </c>
      <c r="J4862" t="s">
        <v>983</v>
      </c>
      <c r="K4862" t="s">
        <v>180</v>
      </c>
      <c r="L4862">
        <v>200114379</v>
      </c>
    </row>
    <row r="4863" spans="3:12">
      <c r="C4863">
        <v>2100300025</v>
      </c>
      <c r="D4863">
        <v>6426000</v>
      </c>
      <c r="E4863" t="s">
        <v>188</v>
      </c>
      <c r="F4863">
        <v>5210010105</v>
      </c>
      <c r="G4863" s="13">
        <v>38000</v>
      </c>
      <c r="I4863" t="s">
        <v>179</v>
      </c>
      <c r="J4863" t="s">
        <v>983</v>
      </c>
      <c r="K4863" t="s">
        <v>180</v>
      </c>
      <c r="L4863">
        <v>200114380</v>
      </c>
    </row>
    <row r="4864" spans="3:12">
      <c r="C4864">
        <v>2100300025</v>
      </c>
      <c r="D4864">
        <v>6426000</v>
      </c>
      <c r="E4864" t="s">
        <v>188</v>
      </c>
      <c r="F4864">
        <v>5210010105</v>
      </c>
      <c r="G4864" s="13">
        <v>41730</v>
      </c>
      <c r="I4864" t="s">
        <v>179</v>
      </c>
      <c r="J4864" t="s">
        <v>983</v>
      </c>
      <c r="K4864" t="s">
        <v>180</v>
      </c>
      <c r="L4864">
        <v>200114382</v>
      </c>
    </row>
    <row r="4865" spans="3:12">
      <c r="C4865">
        <v>2100300025</v>
      </c>
      <c r="D4865">
        <v>6426000</v>
      </c>
      <c r="E4865" t="s">
        <v>188</v>
      </c>
      <c r="F4865">
        <v>5210010105</v>
      </c>
      <c r="G4865" s="13">
        <v>6000</v>
      </c>
      <c r="I4865" t="s">
        <v>179</v>
      </c>
      <c r="J4865" t="s">
        <v>983</v>
      </c>
      <c r="K4865" t="s">
        <v>180</v>
      </c>
      <c r="L4865">
        <v>200114384</v>
      </c>
    </row>
    <row r="4866" spans="3:12">
      <c r="C4866">
        <v>2100300025</v>
      </c>
      <c r="D4866">
        <v>6426000</v>
      </c>
      <c r="E4866" t="s">
        <v>188</v>
      </c>
      <c r="F4866">
        <v>5210010105</v>
      </c>
      <c r="G4866" s="13">
        <v>4975.5</v>
      </c>
      <c r="I4866" t="s">
        <v>179</v>
      </c>
      <c r="J4866" t="s">
        <v>984</v>
      </c>
      <c r="K4866" t="s">
        <v>180</v>
      </c>
      <c r="L4866">
        <v>200123819</v>
      </c>
    </row>
    <row r="4867" spans="3:12">
      <c r="C4867">
        <v>2100300025</v>
      </c>
      <c r="D4867">
        <v>6426000</v>
      </c>
      <c r="E4867" t="s">
        <v>188</v>
      </c>
      <c r="F4867">
        <v>5210010105</v>
      </c>
      <c r="G4867" s="13">
        <v>2520</v>
      </c>
      <c r="I4867" t="s">
        <v>179</v>
      </c>
      <c r="J4867" t="s">
        <v>984</v>
      </c>
      <c r="K4867" t="s">
        <v>180</v>
      </c>
      <c r="L4867">
        <v>200123821</v>
      </c>
    </row>
    <row r="4868" spans="3:12">
      <c r="C4868">
        <v>2100300025</v>
      </c>
      <c r="D4868">
        <v>6426000</v>
      </c>
      <c r="E4868" t="s">
        <v>188</v>
      </c>
      <c r="F4868">
        <v>5210010105</v>
      </c>
      <c r="G4868" s="13">
        <v>1498</v>
      </c>
      <c r="I4868" t="s">
        <v>179</v>
      </c>
      <c r="J4868" t="s">
        <v>984</v>
      </c>
      <c r="K4868" t="s">
        <v>180</v>
      </c>
      <c r="L4868">
        <v>200123822</v>
      </c>
    </row>
    <row r="4869" spans="3:12">
      <c r="C4869">
        <v>2100300025</v>
      </c>
      <c r="D4869">
        <v>6426000</v>
      </c>
      <c r="E4869" t="s">
        <v>188</v>
      </c>
      <c r="F4869">
        <v>5210010105</v>
      </c>
      <c r="G4869" s="13">
        <v>2004</v>
      </c>
      <c r="I4869" t="s">
        <v>179</v>
      </c>
      <c r="J4869" t="s">
        <v>984</v>
      </c>
      <c r="K4869" t="s">
        <v>180</v>
      </c>
      <c r="L4869">
        <v>200121475</v>
      </c>
    </row>
    <row r="4870" spans="3:12">
      <c r="C4870">
        <v>2100300025</v>
      </c>
      <c r="D4870">
        <v>6426000</v>
      </c>
      <c r="E4870" t="s">
        <v>188</v>
      </c>
      <c r="F4870">
        <v>5210010105</v>
      </c>
      <c r="G4870">
        <v>475</v>
      </c>
      <c r="I4870" t="s">
        <v>179</v>
      </c>
      <c r="J4870" t="s">
        <v>984</v>
      </c>
      <c r="K4870" t="s">
        <v>180</v>
      </c>
      <c r="L4870">
        <v>200123070</v>
      </c>
    </row>
    <row r="4871" spans="3:12">
      <c r="C4871">
        <v>2100300025</v>
      </c>
      <c r="D4871">
        <v>6426000</v>
      </c>
      <c r="E4871" t="s">
        <v>188</v>
      </c>
      <c r="F4871">
        <v>5210010105</v>
      </c>
      <c r="G4871">
        <v>390</v>
      </c>
      <c r="I4871" t="s">
        <v>179</v>
      </c>
      <c r="J4871" t="s">
        <v>984</v>
      </c>
      <c r="K4871" t="s">
        <v>180</v>
      </c>
      <c r="L4871">
        <v>200123823</v>
      </c>
    </row>
    <row r="4872" spans="3:12">
      <c r="C4872">
        <v>2100300025</v>
      </c>
      <c r="D4872">
        <v>6426000</v>
      </c>
      <c r="E4872" t="s">
        <v>188</v>
      </c>
      <c r="F4872">
        <v>5210010105</v>
      </c>
      <c r="G4872" s="13">
        <v>13139</v>
      </c>
      <c r="I4872" t="s">
        <v>179</v>
      </c>
      <c r="J4872" t="s">
        <v>866</v>
      </c>
      <c r="K4872" t="s">
        <v>180</v>
      </c>
      <c r="L4872">
        <v>200125016</v>
      </c>
    </row>
    <row r="4873" spans="3:12">
      <c r="C4873">
        <v>2100300025</v>
      </c>
      <c r="D4873">
        <v>6426000</v>
      </c>
      <c r="E4873" t="s">
        <v>188</v>
      </c>
      <c r="F4873">
        <v>5210010105</v>
      </c>
      <c r="G4873" s="13">
        <v>33705</v>
      </c>
      <c r="I4873" t="s">
        <v>179</v>
      </c>
      <c r="J4873" t="s">
        <v>866</v>
      </c>
      <c r="K4873" t="s">
        <v>180</v>
      </c>
      <c r="L4873">
        <v>200126289</v>
      </c>
    </row>
    <row r="4874" spans="3:12">
      <c r="C4874">
        <v>2100300025</v>
      </c>
      <c r="D4874">
        <v>6426000</v>
      </c>
      <c r="E4874" t="s">
        <v>188</v>
      </c>
      <c r="F4874">
        <v>5210010105</v>
      </c>
      <c r="G4874" s="13">
        <v>209000</v>
      </c>
      <c r="I4874" t="s">
        <v>179</v>
      </c>
      <c r="J4874" t="s">
        <v>866</v>
      </c>
      <c r="K4874" t="s">
        <v>180</v>
      </c>
      <c r="L4874">
        <v>200126290</v>
      </c>
    </row>
    <row r="4875" spans="3:12">
      <c r="C4875">
        <v>2100300025</v>
      </c>
      <c r="D4875">
        <v>6426000</v>
      </c>
      <c r="E4875" t="s">
        <v>188</v>
      </c>
      <c r="F4875">
        <v>5210010105</v>
      </c>
      <c r="G4875" s="13">
        <v>380000</v>
      </c>
      <c r="I4875" t="s">
        <v>179</v>
      </c>
      <c r="J4875" t="s">
        <v>866</v>
      </c>
      <c r="K4875" t="s">
        <v>180</v>
      </c>
      <c r="L4875">
        <v>200094443</v>
      </c>
    </row>
    <row r="4876" spans="3:12">
      <c r="C4876">
        <v>2100300025</v>
      </c>
      <c r="D4876">
        <v>6426000</v>
      </c>
      <c r="E4876" t="s">
        <v>188</v>
      </c>
      <c r="F4876">
        <v>5210010105</v>
      </c>
      <c r="G4876" s="13">
        <v>28034</v>
      </c>
      <c r="I4876" t="s">
        <v>179</v>
      </c>
      <c r="J4876" t="s">
        <v>866</v>
      </c>
      <c r="K4876" t="s">
        <v>180</v>
      </c>
      <c r="L4876">
        <v>200125017</v>
      </c>
    </row>
    <row r="4877" spans="3:12">
      <c r="C4877">
        <v>2100300025</v>
      </c>
      <c r="D4877">
        <v>6426000</v>
      </c>
      <c r="E4877" t="s">
        <v>188</v>
      </c>
      <c r="F4877">
        <v>5210010105</v>
      </c>
      <c r="G4877" s="13">
        <v>4729.3999999999996</v>
      </c>
      <c r="I4877" t="s">
        <v>179</v>
      </c>
      <c r="J4877" t="s">
        <v>868</v>
      </c>
      <c r="K4877" t="s">
        <v>180</v>
      </c>
      <c r="L4877">
        <v>200113363</v>
      </c>
    </row>
    <row r="4878" spans="3:12">
      <c r="C4878">
        <v>2100300025</v>
      </c>
      <c r="D4878">
        <v>6426000</v>
      </c>
      <c r="E4878" t="s">
        <v>188</v>
      </c>
      <c r="F4878">
        <v>5210010105</v>
      </c>
      <c r="G4878" s="13">
        <v>99000</v>
      </c>
      <c r="I4878" t="s">
        <v>179</v>
      </c>
      <c r="J4878" t="s">
        <v>868</v>
      </c>
      <c r="K4878" t="s">
        <v>180</v>
      </c>
      <c r="L4878">
        <v>200114001</v>
      </c>
    </row>
    <row r="4879" spans="3:12">
      <c r="C4879">
        <v>2100300025</v>
      </c>
      <c r="D4879">
        <v>6426000</v>
      </c>
      <c r="E4879" t="s">
        <v>188</v>
      </c>
      <c r="F4879">
        <v>5210010105</v>
      </c>
      <c r="G4879" s="13">
        <v>11790</v>
      </c>
      <c r="I4879" t="s">
        <v>179</v>
      </c>
      <c r="J4879" t="s">
        <v>985</v>
      </c>
      <c r="K4879" t="s">
        <v>180</v>
      </c>
      <c r="L4879">
        <v>200007450</v>
      </c>
    </row>
    <row r="4880" spans="3:12">
      <c r="C4880">
        <v>2100300025</v>
      </c>
      <c r="D4880">
        <v>6426000</v>
      </c>
      <c r="E4880" t="s">
        <v>188</v>
      </c>
      <c r="F4880">
        <v>5210010105</v>
      </c>
      <c r="G4880" s="13">
        <v>5800</v>
      </c>
      <c r="I4880" t="s">
        <v>179</v>
      </c>
      <c r="J4880" t="s">
        <v>985</v>
      </c>
      <c r="K4880" t="s">
        <v>180</v>
      </c>
      <c r="L4880">
        <v>200122311</v>
      </c>
    </row>
    <row r="4881" spans="3:12">
      <c r="C4881">
        <v>2100300025</v>
      </c>
      <c r="D4881">
        <v>6426000</v>
      </c>
      <c r="E4881" t="s">
        <v>188</v>
      </c>
      <c r="F4881">
        <v>5210010105</v>
      </c>
      <c r="G4881" s="13">
        <v>5804</v>
      </c>
      <c r="I4881" t="s">
        <v>179</v>
      </c>
      <c r="J4881" t="s">
        <v>985</v>
      </c>
      <c r="K4881" t="s">
        <v>180</v>
      </c>
      <c r="L4881">
        <v>200122310</v>
      </c>
    </row>
    <row r="4882" spans="3:12">
      <c r="C4882">
        <v>2100300025</v>
      </c>
      <c r="D4882">
        <v>6426000</v>
      </c>
      <c r="E4882" t="s">
        <v>188</v>
      </c>
      <c r="F4882">
        <v>5210010105</v>
      </c>
      <c r="G4882" s="13">
        <v>7090</v>
      </c>
      <c r="I4882" t="s">
        <v>179</v>
      </c>
      <c r="J4882" t="s">
        <v>985</v>
      </c>
      <c r="K4882" t="s">
        <v>180</v>
      </c>
      <c r="L4882">
        <v>200122202</v>
      </c>
    </row>
    <row r="4883" spans="3:12">
      <c r="C4883">
        <v>2100300025</v>
      </c>
      <c r="D4883">
        <v>6426000</v>
      </c>
      <c r="E4883" t="s">
        <v>188</v>
      </c>
      <c r="F4883">
        <v>5210010105</v>
      </c>
      <c r="G4883" s="13">
        <v>129575</v>
      </c>
      <c r="I4883" t="s">
        <v>179</v>
      </c>
      <c r="J4883" t="s">
        <v>985</v>
      </c>
      <c r="K4883" t="s">
        <v>180</v>
      </c>
      <c r="L4883">
        <v>200121941</v>
      </c>
    </row>
    <row r="4884" spans="3:12">
      <c r="C4884">
        <v>2100300025</v>
      </c>
      <c r="D4884">
        <v>6426000</v>
      </c>
      <c r="E4884" t="s">
        <v>188</v>
      </c>
      <c r="F4884">
        <v>5210010105</v>
      </c>
      <c r="G4884" s="13">
        <v>112350</v>
      </c>
      <c r="I4884" t="s">
        <v>179</v>
      </c>
      <c r="J4884" t="s">
        <v>985</v>
      </c>
      <c r="K4884" t="s">
        <v>180</v>
      </c>
      <c r="L4884">
        <v>200122308</v>
      </c>
    </row>
    <row r="4885" spans="3:12">
      <c r="C4885">
        <v>2100300025</v>
      </c>
      <c r="D4885">
        <v>6426000</v>
      </c>
      <c r="E4885" t="s">
        <v>188</v>
      </c>
      <c r="F4885">
        <v>5210010105</v>
      </c>
      <c r="G4885" s="13">
        <v>33609</v>
      </c>
      <c r="I4885" t="s">
        <v>179</v>
      </c>
      <c r="J4885" t="s">
        <v>985</v>
      </c>
      <c r="K4885" t="s">
        <v>180</v>
      </c>
      <c r="L4885">
        <v>200122309</v>
      </c>
    </row>
    <row r="4886" spans="3:12">
      <c r="C4886">
        <v>2100300025</v>
      </c>
      <c r="D4886">
        <v>6426000</v>
      </c>
      <c r="E4886" t="s">
        <v>188</v>
      </c>
      <c r="F4886">
        <v>5210010105</v>
      </c>
      <c r="G4886" s="13">
        <v>6955</v>
      </c>
      <c r="I4886" t="s">
        <v>179</v>
      </c>
      <c r="J4886" t="s">
        <v>985</v>
      </c>
      <c r="K4886" t="s">
        <v>180</v>
      </c>
      <c r="L4886">
        <v>200047283</v>
      </c>
    </row>
    <row r="4887" spans="3:12">
      <c r="C4887">
        <v>2100300025</v>
      </c>
      <c r="D4887">
        <v>6426000</v>
      </c>
      <c r="E4887" t="s">
        <v>188</v>
      </c>
      <c r="F4887">
        <v>5210010105</v>
      </c>
      <c r="G4887" s="13">
        <v>19050</v>
      </c>
      <c r="I4887" t="s">
        <v>179</v>
      </c>
      <c r="J4887" t="s">
        <v>985</v>
      </c>
      <c r="K4887" t="s">
        <v>180</v>
      </c>
      <c r="L4887">
        <v>200103973</v>
      </c>
    </row>
    <row r="4888" spans="3:12">
      <c r="C4888">
        <v>2100300025</v>
      </c>
      <c r="D4888">
        <v>6426000</v>
      </c>
      <c r="E4888" t="s">
        <v>188</v>
      </c>
      <c r="F4888">
        <v>5210010105</v>
      </c>
      <c r="G4888" s="13">
        <v>1840</v>
      </c>
      <c r="I4888" t="s">
        <v>179</v>
      </c>
      <c r="J4888" t="s">
        <v>989</v>
      </c>
      <c r="K4888" t="s">
        <v>180</v>
      </c>
      <c r="L4888">
        <v>200126264</v>
      </c>
    </row>
    <row r="4889" spans="3:12">
      <c r="C4889">
        <v>2100300025</v>
      </c>
      <c r="D4889">
        <v>6426000</v>
      </c>
      <c r="E4889" t="s">
        <v>188</v>
      </c>
      <c r="F4889">
        <v>5210010105</v>
      </c>
      <c r="G4889" s="13">
        <v>1100</v>
      </c>
      <c r="I4889" t="s">
        <v>179</v>
      </c>
      <c r="J4889" t="s">
        <v>989</v>
      </c>
      <c r="K4889" t="s">
        <v>180</v>
      </c>
      <c r="L4889">
        <v>200126265</v>
      </c>
    </row>
    <row r="4890" spans="3:12">
      <c r="C4890">
        <v>2100300025</v>
      </c>
      <c r="D4890">
        <v>6426000</v>
      </c>
      <c r="E4890" t="s">
        <v>188</v>
      </c>
      <c r="F4890">
        <v>5210010105</v>
      </c>
      <c r="G4890">
        <v>700</v>
      </c>
      <c r="I4890" t="s">
        <v>179</v>
      </c>
      <c r="J4890" t="s">
        <v>989</v>
      </c>
      <c r="K4890" t="s">
        <v>180</v>
      </c>
      <c r="L4890">
        <v>200126266</v>
      </c>
    </row>
    <row r="4891" spans="3:12">
      <c r="C4891">
        <v>2100300025</v>
      </c>
      <c r="D4891">
        <v>6426000</v>
      </c>
      <c r="E4891" t="s">
        <v>188</v>
      </c>
      <c r="F4891">
        <v>5210010105</v>
      </c>
      <c r="G4891" s="13">
        <v>1500</v>
      </c>
      <c r="I4891" t="s">
        <v>179</v>
      </c>
      <c r="J4891" t="s">
        <v>989</v>
      </c>
      <c r="K4891" t="s">
        <v>180</v>
      </c>
      <c r="L4891">
        <v>200126267</v>
      </c>
    </row>
    <row r="4892" spans="3:12">
      <c r="C4892">
        <v>2100300025</v>
      </c>
      <c r="D4892">
        <v>6426000</v>
      </c>
      <c r="E4892" t="s">
        <v>188</v>
      </c>
      <c r="F4892">
        <v>5210010105</v>
      </c>
      <c r="G4892" s="13">
        <v>11936</v>
      </c>
      <c r="I4892" t="s">
        <v>179</v>
      </c>
      <c r="J4892" t="s">
        <v>985</v>
      </c>
      <c r="K4892" t="s">
        <v>180</v>
      </c>
      <c r="L4892">
        <v>200119447</v>
      </c>
    </row>
    <row r="4893" spans="3:12">
      <c r="C4893">
        <v>2100300025</v>
      </c>
      <c r="D4893">
        <v>6426000</v>
      </c>
      <c r="E4893" t="s">
        <v>188</v>
      </c>
      <c r="F4893">
        <v>5210010105</v>
      </c>
      <c r="G4893" s="13">
        <v>92500</v>
      </c>
      <c r="I4893" t="s">
        <v>179</v>
      </c>
      <c r="J4893" t="s">
        <v>985</v>
      </c>
      <c r="K4893" t="s">
        <v>180</v>
      </c>
      <c r="L4893">
        <v>200121053</v>
      </c>
    </row>
    <row r="4894" spans="3:12">
      <c r="C4894">
        <v>2100300025</v>
      </c>
      <c r="D4894">
        <v>6426000</v>
      </c>
      <c r="E4894" t="s">
        <v>188</v>
      </c>
      <c r="F4894">
        <v>5210010105</v>
      </c>
      <c r="G4894" s="13">
        <v>21400</v>
      </c>
      <c r="I4894" t="s">
        <v>179</v>
      </c>
      <c r="J4894" t="s">
        <v>985</v>
      </c>
      <c r="K4894" t="s">
        <v>180</v>
      </c>
      <c r="L4894">
        <v>200121364</v>
      </c>
    </row>
    <row r="4895" spans="3:12">
      <c r="C4895">
        <v>2100300025</v>
      </c>
      <c r="D4895">
        <v>6426000</v>
      </c>
      <c r="E4895" t="s">
        <v>188</v>
      </c>
      <c r="F4895">
        <v>5210010105</v>
      </c>
      <c r="G4895" s="13">
        <v>17045</v>
      </c>
      <c r="I4895" t="s">
        <v>179</v>
      </c>
      <c r="J4895" t="s">
        <v>986</v>
      </c>
      <c r="K4895" t="s">
        <v>180</v>
      </c>
      <c r="L4895">
        <v>200126218</v>
      </c>
    </row>
    <row r="4896" spans="3:12">
      <c r="C4896">
        <v>2100300025</v>
      </c>
      <c r="D4896">
        <v>6426000</v>
      </c>
      <c r="E4896" t="s">
        <v>188</v>
      </c>
      <c r="F4896">
        <v>5210010105</v>
      </c>
      <c r="G4896" s="13">
        <v>57523.199999999997</v>
      </c>
      <c r="I4896" t="s">
        <v>179</v>
      </c>
      <c r="J4896" t="s">
        <v>986</v>
      </c>
      <c r="K4896" t="s">
        <v>180</v>
      </c>
      <c r="L4896">
        <v>200126219</v>
      </c>
    </row>
    <row r="4897" spans="3:12">
      <c r="C4897">
        <v>2100300025</v>
      </c>
      <c r="D4897">
        <v>6426000</v>
      </c>
      <c r="E4897" t="s">
        <v>188</v>
      </c>
      <c r="F4897">
        <v>5210010105</v>
      </c>
      <c r="G4897" s="13">
        <v>5264.4</v>
      </c>
      <c r="I4897" t="s">
        <v>179</v>
      </c>
      <c r="J4897" t="s">
        <v>986</v>
      </c>
      <c r="K4897" t="s">
        <v>180</v>
      </c>
      <c r="L4897">
        <v>200126301</v>
      </c>
    </row>
    <row r="4898" spans="3:12">
      <c r="C4898">
        <v>2100300025</v>
      </c>
      <c r="D4898">
        <v>6426000</v>
      </c>
      <c r="E4898" t="s">
        <v>188</v>
      </c>
      <c r="F4898">
        <v>5210010105</v>
      </c>
      <c r="G4898" s="13">
        <v>82604</v>
      </c>
      <c r="I4898" t="s">
        <v>179</v>
      </c>
      <c r="J4898" t="s">
        <v>986</v>
      </c>
      <c r="K4898" t="s">
        <v>180</v>
      </c>
      <c r="L4898">
        <v>200126127</v>
      </c>
    </row>
    <row r="4899" spans="3:12">
      <c r="C4899">
        <v>2100300025</v>
      </c>
      <c r="D4899">
        <v>6426000</v>
      </c>
      <c r="E4899" t="s">
        <v>188</v>
      </c>
      <c r="F4899">
        <v>5210010105</v>
      </c>
      <c r="G4899" s="13">
        <v>30120</v>
      </c>
      <c r="I4899" t="s">
        <v>179</v>
      </c>
      <c r="J4899" t="s">
        <v>986</v>
      </c>
      <c r="K4899" t="s">
        <v>180</v>
      </c>
      <c r="L4899">
        <v>200126222</v>
      </c>
    </row>
    <row r="4900" spans="3:12">
      <c r="C4900">
        <v>2100300025</v>
      </c>
      <c r="D4900">
        <v>6426000</v>
      </c>
      <c r="E4900" t="s">
        <v>188</v>
      </c>
      <c r="F4900">
        <v>5210010105</v>
      </c>
      <c r="G4900" s="13">
        <v>12840</v>
      </c>
      <c r="I4900" t="s">
        <v>179</v>
      </c>
      <c r="J4900" t="s">
        <v>986</v>
      </c>
      <c r="K4900" t="s">
        <v>180</v>
      </c>
      <c r="L4900">
        <v>200126223</v>
      </c>
    </row>
    <row r="4901" spans="3:12">
      <c r="C4901">
        <v>2100300025</v>
      </c>
      <c r="D4901">
        <v>6426000</v>
      </c>
      <c r="E4901" t="s">
        <v>188</v>
      </c>
      <c r="F4901">
        <v>5210010105</v>
      </c>
      <c r="G4901" s="13">
        <v>148000</v>
      </c>
      <c r="I4901" t="s">
        <v>179</v>
      </c>
      <c r="J4901" t="s">
        <v>986</v>
      </c>
      <c r="K4901" t="s">
        <v>180</v>
      </c>
      <c r="L4901">
        <v>200126228</v>
      </c>
    </row>
    <row r="4902" spans="3:12">
      <c r="C4902">
        <v>2100300025</v>
      </c>
      <c r="D4902">
        <v>6426000</v>
      </c>
      <c r="E4902" t="s">
        <v>188</v>
      </c>
      <c r="F4902">
        <v>5210010105</v>
      </c>
      <c r="G4902" s="13">
        <v>1485.56</v>
      </c>
      <c r="I4902" t="s">
        <v>179</v>
      </c>
      <c r="J4902" t="s">
        <v>986</v>
      </c>
      <c r="K4902" t="s">
        <v>180</v>
      </c>
      <c r="L4902">
        <v>200126233</v>
      </c>
    </row>
    <row r="4903" spans="3:12">
      <c r="C4903">
        <v>2100300025</v>
      </c>
      <c r="D4903">
        <v>6426000</v>
      </c>
      <c r="E4903" t="s">
        <v>188</v>
      </c>
      <c r="F4903">
        <v>5210010105</v>
      </c>
      <c r="G4903" s="13">
        <v>1525</v>
      </c>
      <c r="I4903" t="s">
        <v>179</v>
      </c>
      <c r="J4903" t="s">
        <v>986</v>
      </c>
      <c r="K4903" t="s">
        <v>180</v>
      </c>
      <c r="L4903">
        <v>200126306</v>
      </c>
    </row>
    <row r="4904" spans="3:12">
      <c r="C4904">
        <v>2100300025</v>
      </c>
      <c r="D4904">
        <v>6426000</v>
      </c>
      <c r="E4904" t="s">
        <v>188</v>
      </c>
      <c r="F4904">
        <v>5210010105</v>
      </c>
      <c r="G4904" s="13">
        <v>85950</v>
      </c>
      <c r="I4904" t="s">
        <v>179</v>
      </c>
      <c r="J4904" t="s">
        <v>986</v>
      </c>
      <c r="K4904" t="s">
        <v>180</v>
      </c>
      <c r="L4904">
        <v>200126236</v>
      </c>
    </row>
    <row r="4905" spans="3:12">
      <c r="C4905">
        <v>2100300025</v>
      </c>
      <c r="D4905">
        <v>6426000</v>
      </c>
      <c r="E4905" t="s">
        <v>188</v>
      </c>
      <c r="F4905">
        <v>5210010105</v>
      </c>
      <c r="G4905" s="13">
        <v>56025.2</v>
      </c>
      <c r="I4905" t="s">
        <v>179</v>
      </c>
      <c r="J4905" t="s">
        <v>869</v>
      </c>
      <c r="K4905" t="s">
        <v>180</v>
      </c>
      <c r="L4905">
        <v>200125224</v>
      </c>
    </row>
    <row r="4906" spans="3:12">
      <c r="C4906">
        <v>2100300025</v>
      </c>
      <c r="D4906">
        <v>6426000</v>
      </c>
      <c r="E4906" t="s">
        <v>188</v>
      </c>
      <c r="F4906">
        <v>5210010105</v>
      </c>
      <c r="G4906" s="13">
        <v>17976</v>
      </c>
      <c r="I4906" t="s">
        <v>179</v>
      </c>
      <c r="J4906" t="s">
        <v>869</v>
      </c>
      <c r="K4906" t="s">
        <v>180</v>
      </c>
      <c r="L4906">
        <v>200126117</v>
      </c>
    </row>
    <row r="4907" spans="3:12">
      <c r="C4907">
        <v>2100300025</v>
      </c>
      <c r="D4907">
        <v>6426000</v>
      </c>
      <c r="E4907" t="s">
        <v>188</v>
      </c>
      <c r="F4907">
        <v>5210010105</v>
      </c>
      <c r="G4907" s="13">
        <v>16264</v>
      </c>
      <c r="I4907" t="s">
        <v>179</v>
      </c>
      <c r="J4907" t="s">
        <v>869</v>
      </c>
      <c r="K4907" t="s">
        <v>180</v>
      </c>
      <c r="L4907">
        <v>200126118</v>
      </c>
    </row>
    <row r="4908" spans="3:12">
      <c r="C4908">
        <v>2100300025</v>
      </c>
      <c r="D4908">
        <v>6426000</v>
      </c>
      <c r="E4908" t="s">
        <v>188</v>
      </c>
      <c r="F4908">
        <v>5210010105</v>
      </c>
      <c r="G4908" s="13">
        <v>140000</v>
      </c>
      <c r="I4908" t="s">
        <v>179</v>
      </c>
      <c r="J4908" t="s">
        <v>980</v>
      </c>
      <c r="K4908" t="s">
        <v>180</v>
      </c>
      <c r="L4908">
        <v>200121111</v>
      </c>
    </row>
    <row r="4909" spans="3:12">
      <c r="C4909">
        <v>2100300025</v>
      </c>
      <c r="D4909">
        <v>6426000</v>
      </c>
      <c r="E4909" t="s">
        <v>188</v>
      </c>
      <c r="F4909">
        <v>5210010105</v>
      </c>
      <c r="G4909" s="13">
        <v>6600</v>
      </c>
      <c r="I4909" t="s">
        <v>179</v>
      </c>
      <c r="J4909" t="s">
        <v>980</v>
      </c>
      <c r="K4909" t="s">
        <v>180</v>
      </c>
      <c r="L4909">
        <v>200121116</v>
      </c>
    </row>
    <row r="4910" spans="3:12">
      <c r="C4910">
        <v>2100300025</v>
      </c>
      <c r="D4910">
        <v>6426000</v>
      </c>
      <c r="E4910" t="s">
        <v>188</v>
      </c>
      <c r="F4910">
        <v>5210010105</v>
      </c>
      <c r="G4910" s="13">
        <v>4558.2</v>
      </c>
      <c r="I4910" t="s">
        <v>179</v>
      </c>
      <c r="J4910" t="s">
        <v>869</v>
      </c>
      <c r="K4910" t="s">
        <v>180</v>
      </c>
      <c r="L4910">
        <v>200126103</v>
      </c>
    </row>
    <row r="4911" spans="3:12">
      <c r="C4911">
        <v>2100300025</v>
      </c>
      <c r="D4911">
        <v>6426000</v>
      </c>
      <c r="E4911" t="s">
        <v>188</v>
      </c>
      <c r="F4911">
        <v>5210010105</v>
      </c>
      <c r="G4911">
        <v>647.5</v>
      </c>
      <c r="I4911" t="s">
        <v>179</v>
      </c>
      <c r="J4911" t="s">
        <v>869</v>
      </c>
      <c r="K4911" t="s">
        <v>180</v>
      </c>
      <c r="L4911">
        <v>200126104</v>
      </c>
    </row>
    <row r="4912" spans="3:12">
      <c r="C4912">
        <v>2100300025</v>
      </c>
      <c r="D4912">
        <v>6426000</v>
      </c>
      <c r="E4912" t="s">
        <v>188</v>
      </c>
      <c r="F4912">
        <v>5210010105</v>
      </c>
      <c r="G4912">
        <v>337.05</v>
      </c>
      <c r="I4912" t="s">
        <v>179</v>
      </c>
      <c r="J4912" t="s">
        <v>869</v>
      </c>
      <c r="K4912" t="s">
        <v>180</v>
      </c>
      <c r="L4912">
        <v>200126105</v>
      </c>
    </row>
    <row r="4913" spans="3:12">
      <c r="C4913">
        <v>2100300025</v>
      </c>
      <c r="D4913">
        <v>6426000</v>
      </c>
      <c r="E4913" t="s">
        <v>188</v>
      </c>
      <c r="F4913">
        <v>5210010105</v>
      </c>
      <c r="G4913" s="13">
        <v>2773.44</v>
      </c>
      <c r="I4913" t="s">
        <v>179</v>
      </c>
      <c r="J4913" t="s">
        <v>869</v>
      </c>
      <c r="K4913" t="s">
        <v>180</v>
      </c>
      <c r="L4913">
        <v>200126106</v>
      </c>
    </row>
    <row r="4914" spans="3:12">
      <c r="C4914">
        <v>2100300025</v>
      </c>
      <c r="D4914">
        <v>6426000</v>
      </c>
      <c r="E4914" t="s">
        <v>188</v>
      </c>
      <c r="F4914">
        <v>5210010105</v>
      </c>
      <c r="G4914">
        <v>567</v>
      </c>
      <c r="I4914" t="s">
        <v>179</v>
      </c>
      <c r="J4914" t="s">
        <v>869</v>
      </c>
      <c r="K4914" t="s">
        <v>180</v>
      </c>
      <c r="L4914">
        <v>200126107</v>
      </c>
    </row>
    <row r="4915" spans="3:12">
      <c r="C4915">
        <v>2100300025</v>
      </c>
      <c r="D4915">
        <v>6426000</v>
      </c>
      <c r="E4915" t="s">
        <v>188</v>
      </c>
      <c r="F4915">
        <v>5210010105</v>
      </c>
      <c r="G4915" s="13">
        <v>109680</v>
      </c>
      <c r="I4915" t="s">
        <v>179</v>
      </c>
      <c r="J4915" t="s">
        <v>980</v>
      </c>
      <c r="K4915" t="s">
        <v>180</v>
      </c>
      <c r="L4915">
        <v>200120742</v>
      </c>
    </row>
    <row r="4916" spans="3:12">
      <c r="C4916">
        <v>2100300025</v>
      </c>
      <c r="D4916">
        <v>6426000</v>
      </c>
      <c r="E4916" t="s">
        <v>188</v>
      </c>
      <c r="F4916">
        <v>5210010105</v>
      </c>
      <c r="G4916" s="13">
        <v>101400</v>
      </c>
      <c r="I4916" t="s">
        <v>179</v>
      </c>
      <c r="J4916" t="s">
        <v>980</v>
      </c>
      <c r="K4916" t="s">
        <v>180</v>
      </c>
      <c r="L4916">
        <v>200121117</v>
      </c>
    </row>
    <row r="4917" spans="3:12">
      <c r="C4917">
        <v>2100300025</v>
      </c>
      <c r="D4917">
        <v>6426000</v>
      </c>
      <c r="E4917" t="s">
        <v>188</v>
      </c>
      <c r="F4917">
        <v>5210010105</v>
      </c>
      <c r="G4917" s="13">
        <v>64200</v>
      </c>
      <c r="I4917" t="s">
        <v>179</v>
      </c>
      <c r="J4917" t="s">
        <v>980</v>
      </c>
      <c r="K4917" t="s">
        <v>180</v>
      </c>
      <c r="L4917">
        <v>200121124</v>
      </c>
    </row>
    <row r="4918" spans="3:12">
      <c r="C4918">
        <v>2100300025</v>
      </c>
      <c r="D4918">
        <v>6426000</v>
      </c>
      <c r="E4918" t="s">
        <v>188</v>
      </c>
      <c r="F4918">
        <v>5210010105</v>
      </c>
      <c r="G4918" s="13">
        <v>2985</v>
      </c>
      <c r="I4918" t="s">
        <v>179</v>
      </c>
      <c r="J4918" t="s">
        <v>986</v>
      </c>
      <c r="K4918" t="s">
        <v>180</v>
      </c>
      <c r="L4918">
        <v>200126229</v>
      </c>
    </row>
    <row r="4919" spans="3:12">
      <c r="C4919">
        <v>2100300025</v>
      </c>
      <c r="D4919">
        <v>6426000</v>
      </c>
      <c r="E4919" t="s">
        <v>188</v>
      </c>
      <c r="F4919">
        <v>5210010105</v>
      </c>
      <c r="G4919" s="13">
        <v>4173</v>
      </c>
      <c r="I4919" t="s">
        <v>179</v>
      </c>
      <c r="J4919" t="s">
        <v>986</v>
      </c>
      <c r="K4919" t="s">
        <v>180</v>
      </c>
      <c r="L4919">
        <v>200126230</v>
      </c>
    </row>
    <row r="4920" spans="3:12">
      <c r="C4920">
        <v>2100300025</v>
      </c>
      <c r="D4920">
        <v>6426000</v>
      </c>
      <c r="E4920" t="s">
        <v>188</v>
      </c>
      <c r="F4920">
        <v>5210010105</v>
      </c>
      <c r="G4920" s="13">
        <v>2340</v>
      </c>
      <c r="I4920" t="s">
        <v>179</v>
      </c>
      <c r="J4920" t="s">
        <v>986</v>
      </c>
      <c r="K4920" t="s">
        <v>180</v>
      </c>
      <c r="L4920">
        <v>200126231</v>
      </c>
    </row>
    <row r="4921" spans="3:12">
      <c r="C4921">
        <v>2100300025</v>
      </c>
      <c r="D4921">
        <v>6426000</v>
      </c>
      <c r="E4921" t="s">
        <v>188</v>
      </c>
      <c r="F4921">
        <v>5210010105</v>
      </c>
      <c r="G4921" s="13">
        <v>2700</v>
      </c>
      <c r="I4921" t="s">
        <v>179</v>
      </c>
      <c r="J4921" t="s">
        <v>986</v>
      </c>
      <c r="K4921" t="s">
        <v>180</v>
      </c>
      <c r="L4921">
        <v>200126232</v>
      </c>
    </row>
    <row r="4922" spans="3:12">
      <c r="C4922">
        <v>2100300025</v>
      </c>
      <c r="D4922">
        <v>6426000</v>
      </c>
      <c r="E4922" t="s">
        <v>188</v>
      </c>
      <c r="F4922">
        <v>5210010105</v>
      </c>
      <c r="G4922" s="13">
        <v>2011.6</v>
      </c>
      <c r="I4922" t="s">
        <v>179</v>
      </c>
      <c r="J4922" t="s">
        <v>986</v>
      </c>
      <c r="K4922" t="s">
        <v>180</v>
      </c>
      <c r="L4922">
        <v>200126304</v>
      </c>
    </row>
    <row r="4923" spans="3:12">
      <c r="C4923">
        <v>2100300025</v>
      </c>
      <c r="D4923">
        <v>6426000</v>
      </c>
      <c r="E4923" t="s">
        <v>188</v>
      </c>
      <c r="F4923">
        <v>5210010105</v>
      </c>
      <c r="G4923" s="13">
        <v>3300</v>
      </c>
      <c r="I4923" t="s">
        <v>179</v>
      </c>
      <c r="J4923" t="s">
        <v>986</v>
      </c>
      <c r="K4923" t="s">
        <v>180</v>
      </c>
      <c r="L4923">
        <v>200126131</v>
      </c>
    </row>
    <row r="4924" spans="3:12">
      <c r="C4924">
        <v>2100300025</v>
      </c>
      <c r="D4924">
        <v>6426000</v>
      </c>
      <c r="E4924" t="s">
        <v>188</v>
      </c>
      <c r="F4924">
        <v>5210010105</v>
      </c>
      <c r="G4924" s="13">
        <v>2100</v>
      </c>
      <c r="I4924" t="s">
        <v>179</v>
      </c>
      <c r="J4924" t="s">
        <v>986</v>
      </c>
      <c r="K4924" t="s">
        <v>180</v>
      </c>
      <c r="L4924">
        <v>200126234</v>
      </c>
    </row>
    <row r="4925" spans="3:12">
      <c r="C4925">
        <v>2100300025</v>
      </c>
      <c r="D4925">
        <v>6426000</v>
      </c>
      <c r="E4925" t="s">
        <v>188</v>
      </c>
      <c r="F4925">
        <v>5210010105</v>
      </c>
      <c r="G4925">
        <v>180</v>
      </c>
      <c r="I4925" t="s">
        <v>179</v>
      </c>
      <c r="J4925" t="s">
        <v>869</v>
      </c>
      <c r="K4925" t="s">
        <v>180</v>
      </c>
      <c r="L4925">
        <v>200126112</v>
      </c>
    </row>
    <row r="4926" spans="3:12">
      <c r="C4926">
        <v>2100300025</v>
      </c>
      <c r="D4926">
        <v>6426000</v>
      </c>
      <c r="E4926" t="s">
        <v>188</v>
      </c>
      <c r="F4926">
        <v>5210010105</v>
      </c>
      <c r="G4926" s="13">
        <v>9300</v>
      </c>
      <c r="I4926" t="s">
        <v>179</v>
      </c>
      <c r="J4926" t="s">
        <v>869</v>
      </c>
      <c r="K4926" t="s">
        <v>180</v>
      </c>
      <c r="L4926">
        <v>200126113</v>
      </c>
    </row>
    <row r="4927" spans="3:12">
      <c r="C4927">
        <v>2100300025</v>
      </c>
      <c r="D4927">
        <v>6426000</v>
      </c>
      <c r="E4927" t="s">
        <v>188</v>
      </c>
      <c r="F4927">
        <v>5210010105</v>
      </c>
      <c r="G4927" s="13">
        <v>4350</v>
      </c>
      <c r="I4927" t="s">
        <v>179</v>
      </c>
      <c r="J4927" t="s">
        <v>869</v>
      </c>
      <c r="K4927" t="s">
        <v>180</v>
      </c>
      <c r="L4927">
        <v>200126114</v>
      </c>
    </row>
    <row r="4928" spans="3:12">
      <c r="C4928">
        <v>2100300025</v>
      </c>
      <c r="D4928">
        <v>6426000</v>
      </c>
      <c r="E4928" t="s">
        <v>188</v>
      </c>
      <c r="F4928">
        <v>5210010105</v>
      </c>
      <c r="G4928">
        <v>375</v>
      </c>
      <c r="I4928" t="s">
        <v>179</v>
      </c>
      <c r="J4928" t="s">
        <v>869</v>
      </c>
      <c r="K4928" t="s">
        <v>180</v>
      </c>
      <c r="L4928">
        <v>200126115</v>
      </c>
    </row>
    <row r="4929" spans="3:12">
      <c r="C4929">
        <v>2100300025</v>
      </c>
      <c r="D4929">
        <v>6426000</v>
      </c>
      <c r="E4929" t="s">
        <v>188</v>
      </c>
      <c r="F4929">
        <v>5210010105</v>
      </c>
      <c r="G4929" s="13">
        <v>6420</v>
      </c>
      <c r="I4929" t="s">
        <v>179</v>
      </c>
      <c r="J4929" t="s">
        <v>869</v>
      </c>
      <c r="K4929" t="s">
        <v>180</v>
      </c>
      <c r="L4929">
        <v>200125216</v>
      </c>
    </row>
    <row r="4930" spans="3:12">
      <c r="C4930">
        <v>2100300025</v>
      </c>
      <c r="D4930">
        <v>6426000</v>
      </c>
      <c r="E4930" t="s">
        <v>188</v>
      </c>
      <c r="F4930">
        <v>5210010105</v>
      </c>
      <c r="G4930">
        <v>410</v>
      </c>
      <c r="I4930" t="s">
        <v>179</v>
      </c>
      <c r="J4930" t="s">
        <v>869</v>
      </c>
      <c r="K4930" t="s">
        <v>180</v>
      </c>
      <c r="L4930">
        <v>200125513</v>
      </c>
    </row>
    <row r="4931" spans="3:12">
      <c r="C4931">
        <v>2100300025</v>
      </c>
      <c r="D4931">
        <v>6426000</v>
      </c>
      <c r="E4931" t="s">
        <v>188</v>
      </c>
      <c r="F4931">
        <v>5210010105</v>
      </c>
      <c r="G4931" s="13">
        <v>5200</v>
      </c>
      <c r="I4931" t="s">
        <v>179</v>
      </c>
      <c r="J4931" t="s">
        <v>869</v>
      </c>
      <c r="K4931" t="s">
        <v>180</v>
      </c>
      <c r="L4931">
        <v>200125514</v>
      </c>
    </row>
    <row r="4932" spans="3:12">
      <c r="C4932">
        <v>2100300025</v>
      </c>
      <c r="D4932">
        <v>6426000</v>
      </c>
      <c r="E4932" t="s">
        <v>188</v>
      </c>
      <c r="F4932">
        <v>5210010105</v>
      </c>
      <c r="G4932" s="13">
        <v>3200</v>
      </c>
      <c r="I4932" t="s">
        <v>179</v>
      </c>
      <c r="J4932" t="s">
        <v>869</v>
      </c>
      <c r="K4932" t="s">
        <v>180</v>
      </c>
      <c r="L4932">
        <v>200125515</v>
      </c>
    </row>
    <row r="4933" spans="3:12">
      <c r="C4933">
        <v>2100300025</v>
      </c>
      <c r="D4933">
        <v>6426000</v>
      </c>
      <c r="E4933" t="s">
        <v>188</v>
      </c>
      <c r="F4933">
        <v>5210010105</v>
      </c>
      <c r="G4933">
        <v>920</v>
      </c>
      <c r="I4933" t="s">
        <v>179</v>
      </c>
      <c r="J4933" t="s">
        <v>869</v>
      </c>
      <c r="K4933" t="s">
        <v>180</v>
      </c>
      <c r="L4933">
        <v>200125217</v>
      </c>
    </row>
    <row r="4934" spans="3:12">
      <c r="C4934">
        <v>2100300025</v>
      </c>
      <c r="D4934">
        <v>6426000</v>
      </c>
      <c r="E4934" t="s">
        <v>188</v>
      </c>
      <c r="F4934">
        <v>5210010105</v>
      </c>
      <c r="G4934">
        <v>500</v>
      </c>
      <c r="I4934" t="s">
        <v>179</v>
      </c>
      <c r="J4934" t="s">
        <v>869</v>
      </c>
      <c r="K4934" t="s">
        <v>180</v>
      </c>
      <c r="L4934">
        <v>200125218</v>
      </c>
    </row>
    <row r="4935" spans="3:12">
      <c r="C4935">
        <v>2100300025</v>
      </c>
      <c r="D4935">
        <v>6426000</v>
      </c>
      <c r="E4935" t="s">
        <v>188</v>
      </c>
      <c r="F4935">
        <v>5210010105</v>
      </c>
      <c r="G4935" s="13">
        <v>15750</v>
      </c>
      <c r="I4935" t="s">
        <v>179</v>
      </c>
      <c r="J4935" t="s">
        <v>869</v>
      </c>
      <c r="K4935" t="s">
        <v>180</v>
      </c>
      <c r="L4935">
        <v>200125219</v>
      </c>
    </row>
    <row r="4936" spans="3:12">
      <c r="C4936">
        <v>2100300025</v>
      </c>
      <c r="D4936">
        <v>6426000</v>
      </c>
      <c r="E4936" t="s">
        <v>188</v>
      </c>
      <c r="F4936">
        <v>5210010105</v>
      </c>
      <c r="G4936" s="13">
        <v>10000</v>
      </c>
      <c r="I4936" t="s">
        <v>179</v>
      </c>
      <c r="J4936" t="s">
        <v>869</v>
      </c>
      <c r="K4936" t="s">
        <v>180</v>
      </c>
      <c r="L4936">
        <v>200125220</v>
      </c>
    </row>
    <row r="4937" spans="3:12">
      <c r="C4937">
        <v>2100300025</v>
      </c>
      <c r="D4937">
        <v>6426000</v>
      </c>
      <c r="E4937" t="s">
        <v>188</v>
      </c>
      <c r="F4937">
        <v>5210010105</v>
      </c>
      <c r="G4937">
        <v>264.85000000000002</v>
      </c>
      <c r="I4937" t="s">
        <v>179</v>
      </c>
      <c r="J4937" t="s">
        <v>869</v>
      </c>
      <c r="K4937" t="s">
        <v>180</v>
      </c>
      <c r="L4937">
        <v>200125221</v>
      </c>
    </row>
    <row r="4938" spans="3:12">
      <c r="C4938">
        <v>2100300025</v>
      </c>
      <c r="D4938">
        <v>6426000</v>
      </c>
      <c r="E4938" t="s">
        <v>188</v>
      </c>
      <c r="F4938">
        <v>5210010105</v>
      </c>
      <c r="G4938" s="13">
        <v>60990</v>
      </c>
      <c r="I4938" t="s">
        <v>179</v>
      </c>
      <c r="J4938" t="s">
        <v>869</v>
      </c>
      <c r="K4938" t="s">
        <v>180</v>
      </c>
      <c r="L4938">
        <v>200125223</v>
      </c>
    </row>
    <row r="4939" spans="3:12">
      <c r="C4939">
        <v>2100300025</v>
      </c>
      <c r="D4939">
        <v>6426000</v>
      </c>
      <c r="E4939" t="s">
        <v>188</v>
      </c>
      <c r="F4939">
        <v>5210010105</v>
      </c>
      <c r="G4939" s="13">
        <v>14669.7</v>
      </c>
      <c r="I4939" t="s">
        <v>179</v>
      </c>
      <c r="J4939" t="s">
        <v>869</v>
      </c>
      <c r="K4939" t="s">
        <v>180</v>
      </c>
      <c r="L4939">
        <v>200125494</v>
      </c>
    </row>
    <row r="4940" spans="3:12">
      <c r="C4940">
        <v>2100300025</v>
      </c>
      <c r="D4940">
        <v>6426000</v>
      </c>
      <c r="E4940" t="s">
        <v>188</v>
      </c>
      <c r="F4940">
        <v>5210010105</v>
      </c>
      <c r="G4940" s="13">
        <v>20000</v>
      </c>
      <c r="I4940" t="s">
        <v>179</v>
      </c>
      <c r="J4940" t="s">
        <v>869</v>
      </c>
      <c r="K4940" t="s">
        <v>180</v>
      </c>
      <c r="L4940">
        <v>200124598</v>
      </c>
    </row>
    <row r="4941" spans="3:12">
      <c r="C4941">
        <v>2100300025</v>
      </c>
      <c r="D4941">
        <v>6426000</v>
      </c>
      <c r="E4941" t="s">
        <v>188</v>
      </c>
      <c r="F4941">
        <v>5210010105</v>
      </c>
      <c r="G4941" s="13">
        <v>80892</v>
      </c>
      <c r="I4941" t="s">
        <v>179</v>
      </c>
      <c r="J4941" t="s">
        <v>980</v>
      </c>
      <c r="K4941" t="s">
        <v>180</v>
      </c>
      <c r="L4941">
        <v>200121110</v>
      </c>
    </row>
    <row r="4942" spans="3:12">
      <c r="C4942">
        <v>2100300025</v>
      </c>
      <c r="D4942">
        <v>6426000</v>
      </c>
      <c r="E4942" t="s">
        <v>188</v>
      </c>
      <c r="F4942">
        <v>5210010105</v>
      </c>
      <c r="G4942" s="13">
        <v>151672.5</v>
      </c>
      <c r="I4942" t="s">
        <v>179</v>
      </c>
      <c r="J4942" t="s">
        <v>980</v>
      </c>
      <c r="K4942" t="s">
        <v>180</v>
      </c>
      <c r="L4942">
        <v>200121207</v>
      </c>
    </row>
    <row r="4943" spans="3:12">
      <c r="C4943">
        <v>2100300025</v>
      </c>
      <c r="D4943">
        <v>6426000</v>
      </c>
      <c r="E4943" t="s">
        <v>188</v>
      </c>
      <c r="F4943">
        <v>5210010105</v>
      </c>
      <c r="G4943" s="13">
        <v>8750</v>
      </c>
      <c r="I4943" t="s">
        <v>179</v>
      </c>
      <c r="J4943" t="s">
        <v>980</v>
      </c>
      <c r="K4943" t="s">
        <v>180</v>
      </c>
      <c r="L4943">
        <v>200121112</v>
      </c>
    </row>
    <row r="4944" spans="3:12">
      <c r="C4944">
        <v>2100300025</v>
      </c>
      <c r="D4944">
        <v>6426000</v>
      </c>
      <c r="E4944" t="s">
        <v>188</v>
      </c>
      <c r="F4944">
        <v>5210010105</v>
      </c>
      <c r="G4944" s="13">
        <v>1889.86</v>
      </c>
      <c r="I4944" t="s">
        <v>179</v>
      </c>
      <c r="J4944" t="s">
        <v>980</v>
      </c>
      <c r="K4944" t="s">
        <v>180</v>
      </c>
      <c r="L4944">
        <v>200120744</v>
      </c>
    </row>
    <row r="4945" spans="3:13">
      <c r="C4945">
        <v>2100300025</v>
      </c>
      <c r="D4945">
        <v>6426000</v>
      </c>
      <c r="E4945" t="s">
        <v>188</v>
      </c>
      <c r="F4945">
        <v>5210010105</v>
      </c>
      <c r="G4945" s="13">
        <v>8800</v>
      </c>
      <c r="I4945" t="s">
        <v>179</v>
      </c>
      <c r="J4945" t="s">
        <v>980</v>
      </c>
      <c r="K4945" t="s">
        <v>180</v>
      </c>
      <c r="L4945">
        <v>200120746</v>
      </c>
    </row>
    <row r="4946" spans="3:13">
      <c r="C4946">
        <v>2100300025</v>
      </c>
      <c r="D4946">
        <v>6426000</v>
      </c>
      <c r="E4946" t="s">
        <v>188</v>
      </c>
      <c r="F4946">
        <v>5210010105</v>
      </c>
      <c r="G4946">
        <v>130</v>
      </c>
      <c r="I4946" t="s">
        <v>179</v>
      </c>
      <c r="J4946" t="s">
        <v>980</v>
      </c>
      <c r="K4946" t="s">
        <v>180</v>
      </c>
      <c r="L4946">
        <v>200120747</v>
      </c>
    </row>
    <row r="4947" spans="3:13">
      <c r="C4947">
        <v>2100300025</v>
      </c>
      <c r="D4947">
        <v>6426000</v>
      </c>
      <c r="E4947" t="s">
        <v>188</v>
      </c>
      <c r="F4947">
        <v>5210010105</v>
      </c>
      <c r="G4947" s="13">
        <v>2570</v>
      </c>
      <c r="I4947" t="s">
        <v>179</v>
      </c>
      <c r="J4947" t="s">
        <v>980</v>
      </c>
      <c r="K4947" t="s">
        <v>180</v>
      </c>
      <c r="L4947">
        <v>200120748</v>
      </c>
    </row>
    <row r="4948" spans="3:13">
      <c r="C4948">
        <v>2100300025</v>
      </c>
      <c r="D4948">
        <v>6426000</v>
      </c>
      <c r="E4948" t="s">
        <v>188</v>
      </c>
      <c r="F4948">
        <v>5210010105</v>
      </c>
      <c r="G4948" s="13">
        <v>1470</v>
      </c>
      <c r="I4948" t="s">
        <v>179</v>
      </c>
      <c r="J4948" t="s">
        <v>980</v>
      </c>
      <c r="K4948" t="s">
        <v>180</v>
      </c>
      <c r="L4948">
        <v>200120749</v>
      </c>
    </row>
    <row r="4949" spans="3:13">
      <c r="C4949">
        <v>2100300025</v>
      </c>
      <c r="D4949">
        <v>6431000</v>
      </c>
      <c r="E4949" t="s">
        <v>188</v>
      </c>
      <c r="F4949">
        <v>5104010104</v>
      </c>
      <c r="G4949" s="13">
        <v>-1622530</v>
      </c>
      <c r="I4949" t="s">
        <v>489</v>
      </c>
      <c r="J4949" t="s">
        <v>555</v>
      </c>
      <c r="K4949" t="s">
        <v>69</v>
      </c>
      <c r="L4949">
        <v>700001016</v>
      </c>
    </row>
    <row r="4950" spans="3:13">
      <c r="C4950">
        <v>2100300025</v>
      </c>
      <c r="D4950">
        <v>6431000</v>
      </c>
      <c r="E4950" t="s">
        <v>188</v>
      </c>
      <c r="F4950">
        <v>5104010104</v>
      </c>
      <c r="G4950" s="13">
        <v>-3331220.78</v>
      </c>
      <c r="I4950" t="s">
        <v>489</v>
      </c>
      <c r="J4950" t="s">
        <v>555</v>
      </c>
      <c r="K4950" t="s">
        <v>69</v>
      </c>
      <c r="L4950">
        <v>700001017</v>
      </c>
    </row>
    <row r="4951" spans="3:13">
      <c r="C4951">
        <v>2100300025</v>
      </c>
      <c r="D4951">
        <v>6431000</v>
      </c>
      <c r="E4951" t="s">
        <v>188</v>
      </c>
      <c r="F4951">
        <v>5104010104</v>
      </c>
      <c r="G4951" s="13">
        <v>10460557.960000001</v>
      </c>
      <c r="I4951" t="s">
        <v>489</v>
      </c>
      <c r="J4951" t="s">
        <v>591</v>
      </c>
      <c r="K4951" t="s">
        <v>69</v>
      </c>
      <c r="L4951">
        <v>700002329</v>
      </c>
      <c r="M4951" t="s">
        <v>990</v>
      </c>
    </row>
    <row r="4952" spans="3:13">
      <c r="C4952">
        <v>2100300025</v>
      </c>
      <c r="D4952">
        <v>6431000</v>
      </c>
      <c r="E4952" t="s">
        <v>188</v>
      </c>
      <c r="F4952">
        <v>5104010104</v>
      </c>
      <c r="G4952" s="13">
        <v>1238758.46</v>
      </c>
      <c r="I4952" t="s">
        <v>489</v>
      </c>
      <c r="J4952" t="s">
        <v>591</v>
      </c>
      <c r="K4952" t="s">
        <v>69</v>
      </c>
      <c r="L4952">
        <v>700002328</v>
      </c>
      <c r="M4952" t="s">
        <v>991</v>
      </c>
    </row>
    <row r="4953" spans="3:13">
      <c r="C4953">
        <v>2100300025</v>
      </c>
      <c r="D4953">
        <v>6426000</v>
      </c>
      <c r="E4953" t="s">
        <v>188</v>
      </c>
      <c r="F4953">
        <v>5101020199</v>
      </c>
      <c r="G4953" s="13">
        <v>-4000</v>
      </c>
      <c r="I4953" t="s">
        <v>144</v>
      </c>
      <c r="J4953" t="s">
        <v>591</v>
      </c>
      <c r="K4953" t="s">
        <v>486</v>
      </c>
      <c r="L4953">
        <v>100096386</v>
      </c>
    </row>
    <row r="4954" spans="3:13">
      <c r="C4954">
        <v>2100300025</v>
      </c>
      <c r="D4954">
        <v>6431000</v>
      </c>
      <c r="E4954" t="s">
        <v>188</v>
      </c>
      <c r="F4954">
        <v>5101020199</v>
      </c>
      <c r="G4954" s="13">
        <v>-58000</v>
      </c>
      <c r="I4954" t="s">
        <v>144</v>
      </c>
      <c r="J4954" t="s">
        <v>852</v>
      </c>
      <c r="K4954" t="s">
        <v>486</v>
      </c>
      <c r="L4954">
        <v>100067885</v>
      </c>
    </row>
    <row r="4955" spans="3:13">
      <c r="C4955">
        <v>2100300025</v>
      </c>
      <c r="D4955">
        <v>6431000</v>
      </c>
      <c r="E4955" t="s">
        <v>188</v>
      </c>
      <c r="F4955">
        <v>5101020199</v>
      </c>
      <c r="G4955" s="13">
        <v>-37000</v>
      </c>
      <c r="I4955" t="s">
        <v>144</v>
      </c>
      <c r="J4955" t="s">
        <v>861</v>
      </c>
      <c r="K4955" t="s">
        <v>486</v>
      </c>
      <c r="L4955">
        <v>100085743</v>
      </c>
    </row>
    <row r="4956" spans="3:13">
      <c r="C4956">
        <v>2100300025</v>
      </c>
      <c r="D4956">
        <v>6431000</v>
      </c>
      <c r="E4956" t="s">
        <v>188</v>
      </c>
      <c r="F4956">
        <v>5102010199</v>
      </c>
      <c r="G4956" s="13">
        <v>4500</v>
      </c>
      <c r="I4956" t="s">
        <v>144</v>
      </c>
      <c r="J4956" t="s">
        <v>890</v>
      </c>
      <c r="K4956" t="s">
        <v>151</v>
      </c>
      <c r="L4956">
        <v>100009049</v>
      </c>
      <c r="M4956" t="s">
        <v>992</v>
      </c>
    </row>
    <row r="4957" spans="3:13">
      <c r="C4957">
        <v>2100300025</v>
      </c>
      <c r="D4957">
        <v>6431000</v>
      </c>
      <c r="E4957" t="s">
        <v>188</v>
      </c>
      <c r="F4957">
        <v>5102010199</v>
      </c>
      <c r="G4957" s="13">
        <v>1399</v>
      </c>
      <c r="I4957" t="s">
        <v>144</v>
      </c>
      <c r="J4957" t="s">
        <v>874</v>
      </c>
      <c r="K4957" t="s">
        <v>151</v>
      </c>
      <c r="L4957">
        <v>100040101</v>
      </c>
      <c r="M4957" t="s">
        <v>992</v>
      </c>
    </row>
    <row r="4958" spans="3:13">
      <c r="C4958">
        <v>2100300025</v>
      </c>
      <c r="D4958">
        <v>6431000</v>
      </c>
      <c r="E4958" t="s">
        <v>188</v>
      </c>
      <c r="F4958">
        <v>5102010199</v>
      </c>
      <c r="G4958" s="13">
        <v>7650</v>
      </c>
      <c r="I4958" t="s">
        <v>144</v>
      </c>
      <c r="J4958" t="s">
        <v>963</v>
      </c>
      <c r="K4958" t="s">
        <v>151</v>
      </c>
      <c r="L4958">
        <v>100076440</v>
      </c>
      <c r="M4958" t="s">
        <v>992</v>
      </c>
    </row>
    <row r="4959" spans="3:13">
      <c r="C4959">
        <v>2100300025</v>
      </c>
      <c r="D4959">
        <v>6431000</v>
      </c>
      <c r="E4959" t="s">
        <v>188</v>
      </c>
      <c r="F4959">
        <v>5102010199</v>
      </c>
      <c r="G4959" s="13">
        <v>1550</v>
      </c>
      <c r="I4959" t="s">
        <v>144</v>
      </c>
      <c r="J4959" t="s">
        <v>862</v>
      </c>
      <c r="K4959" t="s">
        <v>151</v>
      </c>
      <c r="L4959">
        <v>100094127</v>
      </c>
      <c r="M4959" t="s">
        <v>993</v>
      </c>
    </row>
    <row r="4960" spans="3:13">
      <c r="C4960">
        <v>2100300025</v>
      </c>
      <c r="D4960">
        <v>6431000</v>
      </c>
      <c r="E4960" t="s">
        <v>188</v>
      </c>
      <c r="F4960">
        <v>5102010199</v>
      </c>
      <c r="G4960" s="13">
        <v>10000</v>
      </c>
      <c r="I4960" t="s">
        <v>144</v>
      </c>
      <c r="J4960" t="s">
        <v>866</v>
      </c>
      <c r="K4960" t="s">
        <v>151</v>
      </c>
      <c r="L4960">
        <v>100096371</v>
      </c>
      <c r="M4960" t="s">
        <v>992</v>
      </c>
    </row>
    <row r="4961" spans="3:13">
      <c r="C4961">
        <v>2100300025</v>
      </c>
      <c r="D4961">
        <v>6431000</v>
      </c>
      <c r="E4961" t="s">
        <v>188</v>
      </c>
      <c r="F4961">
        <v>5102010199</v>
      </c>
      <c r="G4961" s="13">
        <v>27500</v>
      </c>
      <c r="I4961" t="s">
        <v>144</v>
      </c>
      <c r="J4961" t="s">
        <v>898</v>
      </c>
      <c r="K4961" t="s">
        <v>151</v>
      </c>
      <c r="L4961">
        <v>100019821</v>
      </c>
      <c r="M4961" t="s">
        <v>992</v>
      </c>
    </row>
    <row r="4962" spans="3:13">
      <c r="C4962">
        <v>2100300025</v>
      </c>
      <c r="D4962">
        <v>6431000</v>
      </c>
      <c r="E4962" t="s">
        <v>188</v>
      </c>
      <c r="F4962">
        <v>5102010199</v>
      </c>
      <c r="G4962" s="13">
        <v>5000</v>
      </c>
      <c r="I4962" t="s">
        <v>144</v>
      </c>
      <c r="J4962" t="s">
        <v>840</v>
      </c>
      <c r="K4962" t="s">
        <v>151</v>
      </c>
      <c r="L4962">
        <v>100059826</v>
      </c>
      <c r="M4962" t="s">
        <v>992</v>
      </c>
    </row>
    <row r="4963" spans="3:13">
      <c r="C4963">
        <v>2100300025</v>
      </c>
      <c r="D4963">
        <v>6431000</v>
      </c>
      <c r="E4963" t="s">
        <v>188</v>
      </c>
      <c r="F4963">
        <v>5102010199</v>
      </c>
      <c r="G4963" s="13">
        <v>2000</v>
      </c>
      <c r="I4963" t="s">
        <v>144</v>
      </c>
      <c r="J4963" t="s">
        <v>963</v>
      </c>
      <c r="K4963" t="s">
        <v>151</v>
      </c>
      <c r="L4963">
        <v>100073385</v>
      </c>
      <c r="M4963" t="s">
        <v>992</v>
      </c>
    </row>
    <row r="4964" spans="3:13">
      <c r="C4964">
        <v>2100300025</v>
      </c>
      <c r="D4964">
        <v>6431000</v>
      </c>
      <c r="E4964" t="s">
        <v>188</v>
      </c>
      <c r="F4964">
        <v>5102010199</v>
      </c>
      <c r="G4964" s="13">
        <v>7000</v>
      </c>
      <c r="I4964" t="s">
        <v>144</v>
      </c>
      <c r="J4964" t="s">
        <v>964</v>
      </c>
      <c r="K4964" t="s">
        <v>151</v>
      </c>
      <c r="L4964">
        <v>100081355</v>
      </c>
      <c r="M4964" t="s">
        <v>992</v>
      </c>
    </row>
    <row r="4965" spans="3:13">
      <c r="C4965">
        <v>2100300025</v>
      </c>
      <c r="D4965">
        <v>6431000</v>
      </c>
      <c r="E4965" t="s">
        <v>188</v>
      </c>
      <c r="F4965">
        <v>5102010199</v>
      </c>
      <c r="G4965" s="13">
        <v>1260</v>
      </c>
      <c r="I4965" t="s">
        <v>144</v>
      </c>
      <c r="J4965" t="s">
        <v>964</v>
      </c>
      <c r="K4965" t="s">
        <v>151</v>
      </c>
      <c r="L4965">
        <v>100081356</v>
      </c>
      <c r="M4965" t="s">
        <v>992</v>
      </c>
    </row>
    <row r="4966" spans="3:13">
      <c r="C4966">
        <v>2100300025</v>
      </c>
      <c r="D4966">
        <v>6431000</v>
      </c>
      <c r="E4966" t="s">
        <v>188</v>
      </c>
      <c r="F4966">
        <v>5102010199</v>
      </c>
      <c r="G4966" s="13">
        <v>2500</v>
      </c>
      <c r="I4966" t="s">
        <v>144</v>
      </c>
      <c r="J4966" t="s">
        <v>566</v>
      </c>
      <c r="K4966" t="s">
        <v>151</v>
      </c>
      <c r="L4966">
        <v>100085732</v>
      </c>
      <c r="M4966" t="s">
        <v>992</v>
      </c>
    </row>
    <row r="4967" spans="3:13">
      <c r="C4967">
        <v>2100300025</v>
      </c>
      <c r="D4967">
        <v>6431000</v>
      </c>
      <c r="E4967" t="s">
        <v>188</v>
      </c>
      <c r="F4967">
        <v>5102010199</v>
      </c>
      <c r="G4967" s="13">
        <v>11110</v>
      </c>
      <c r="I4967" t="s">
        <v>144</v>
      </c>
      <c r="J4967" t="s">
        <v>897</v>
      </c>
      <c r="K4967" t="s">
        <v>151</v>
      </c>
      <c r="L4967">
        <v>100013379</v>
      </c>
      <c r="M4967" t="s">
        <v>992</v>
      </c>
    </row>
    <row r="4968" spans="3:13">
      <c r="C4968">
        <v>2100300025</v>
      </c>
      <c r="D4968">
        <v>6431000</v>
      </c>
      <c r="E4968" t="s">
        <v>188</v>
      </c>
      <c r="F4968">
        <v>5102010199</v>
      </c>
      <c r="G4968" s="13">
        <v>11000</v>
      </c>
      <c r="I4968" t="s">
        <v>144</v>
      </c>
      <c r="J4968" t="s">
        <v>878</v>
      </c>
      <c r="K4968" t="s">
        <v>151</v>
      </c>
      <c r="L4968">
        <v>100000491</v>
      </c>
      <c r="M4968" t="s">
        <v>992</v>
      </c>
    </row>
    <row r="4969" spans="3:13">
      <c r="C4969">
        <v>2100300025</v>
      </c>
      <c r="D4969">
        <v>6431000</v>
      </c>
      <c r="E4969" t="s">
        <v>188</v>
      </c>
      <c r="F4969">
        <v>5102010199</v>
      </c>
      <c r="G4969" s="13">
        <v>159168.5</v>
      </c>
      <c r="I4969" t="s">
        <v>144</v>
      </c>
      <c r="J4969" t="s">
        <v>994</v>
      </c>
      <c r="K4969" t="s">
        <v>151</v>
      </c>
      <c r="L4969">
        <v>100001419</v>
      </c>
      <c r="M4969" t="s">
        <v>992</v>
      </c>
    </row>
    <row r="4970" spans="3:13">
      <c r="C4970">
        <v>2100300025</v>
      </c>
      <c r="D4970">
        <v>6431000</v>
      </c>
      <c r="E4970" t="s">
        <v>188</v>
      </c>
      <c r="F4970">
        <v>5102010199</v>
      </c>
      <c r="G4970" s="13">
        <v>14900</v>
      </c>
      <c r="I4970" t="s">
        <v>144</v>
      </c>
      <c r="J4970" t="s">
        <v>995</v>
      </c>
      <c r="K4970" t="s">
        <v>151</v>
      </c>
      <c r="L4970">
        <v>100009357</v>
      </c>
      <c r="M4970" t="s">
        <v>992</v>
      </c>
    </row>
    <row r="4971" spans="3:13">
      <c r="C4971">
        <v>2100300025</v>
      </c>
      <c r="D4971">
        <v>6431000</v>
      </c>
      <c r="E4971" t="s">
        <v>188</v>
      </c>
      <c r="F4971">
        <v>5102010199</v>
      </c>
      <c r="G4971" s="13">
        <v>41400</v>
      </c>
      <c r="I4971" t="s">
        <v>144</v>
      </c>
      <c r="J4971" t="s">
        <v>996</v>
      </c>
      <c r="K4971" t="s">
        <v>151</v>
      </c>
      <c r="L4971">
        <v>100001479</v>
      </c>
      <c r="M4971" t="s">
        <v>997</v>
      </c>
    </row>
    <row r="4972" spans="3:13">
      <c r="C4972">
        <v>2100300025</v>
      </c>
      <c r="D4972">
        <v>6431000</v>
      </c>
      <c r="E4972" t="s">
        <v>188</v>
      </c>
      <c r="F4972">
        <v>5102010199</v>
      </c>
      <c r="G4972" s="13">
        <v>41400</v>
      </c>
      <c r="I4972" t="s">
        <v>144</v>
      </c>
      <c r="J4972" t="s">
        <v>998</v>
      </c>
      <c r="K4972" t="s">
        <v>151</v>
      </c>
      <c r="L4972">
        <v>100012212</v>
      </c>
      <c r="M4972" t="s">
        <v>997</v>
      </c>
    </row>
    <row r="4973" spans="3:13">
      <c r="C4973">
        <v>2100300025</v>
      </c>
      <c r="D4973">
        <v>6431000</v>
      </c>
      <c r="E4973" t="s">
        <v>188</v>
      </c>
      <c r="F4973">
        <v>5102010199</v>
      </c>
      <c r="G4973" s="13">
        <v>1675</v>
      </c>
      <c r="I4973" t="s">
        <v>144</v>
      </c>
      <c r="J4973" t="s">
        <v>998</v>
      </c>
      <c r="K4973" t="s">
        <v>151</v>
      </c>
      <c r="L4973">
        <v>100009197</v>
      </c>
      <c r="M4973" t="s">
        <v>992</v>
      </c>
    </row>
    <row r="4974" spans="3:13">
      <c r="C4974">
        <v>2100300025</v>
      </c>
      <c r="D4974">
        <v>6431000</v>
      </c>
      <c r="E4974" t="s">
        <v>188</v>
      </c>
      <c r="F4974">
        <v>5102010199</v>
      </c>
      <c r="G4974" s="13">
        <v>21900</v>
      </c>
      <c r="I4974" t="s">
        <v>144</v>
      </c>
      <c r="J4974" t="s">
        <v>893</v>
      </c>
      <c r="K4974" t="s">
        <v>151</v>
      </c>
      <c r="L4974">
        <v>100015725</v>
      </c>
      <c r="M4974" t="s">
        <v>992</v>
      </c>
    </row>
    <row r="4975" spans="3:13">
      <c r="C4975">
        <v>2100300025</v>
      </c>
      <c r="D4975">
        <v>6431000</v>
      </c>
      <c r="E4975" t="s">
        <v>188</v>
      </c>
      <c r="F4975">
        <v>5102010199</v>
      </c>
      <c r="G4975" s="13">
        <v>27350</v>
      </c>
      <c r="I4975" t="s">
        <v>144</v>
      </c>
      <c r="J4975" t="s">
        <v>897</v>
      </c>
      <c r="K4975" t="s">
        <v>151</v>
      </c>
      <c r="L4975">
        <v>100017447</v>
      </c>
      <c r="M4975" t="s">
        <v>992</v>
      </c>
    </row>
    <row r="4976" spans="3:13">
      <c r="C4976">
        <v>2100300025</v>
      </c>
      <c r="D4976">
        <v>6431000</v>
      </c>
      <c r="E4976" t="s">
        <v>188</v>
      </c>
      <c r="F4976">
        <v>5102010199</v>
      </c>
      <c r="G4976" s="13">
        <v>1750</v>
      </c>
      <c r="I4976" t="s">
        <v>144</v>
      </c>
      <c r="J4976" t="s">
        <v>900</v>
      </c>
      <c r="K4976" t="s">
        <v>151</v>
      </c>
      <c r="L4976">
        <v>100013380</v>
      </c>
      <c r="M4976" t="s">
        <v>992</v>
      </c>
    </row>
    <row r="4977" spans="3:13">
      <c r="C4977">
        <v>2100300025</v>
      </c>
      <c r="D4977">
        <v>6431000</v>
      </c>
      <c r="E4977" t="s">
        <v>188</v>
      </c>
      <c r="F4977">
        <v>5102010199</v>
      </c>
      <c r="G4977" s="13">
        <v>34075</v>
      </c>
      <c r="I4977" t="s">
        <v>144</v>
      </c>
      <c r="J4977" t="s">
        <v>817</v>
      </c>
      <c r="K4977" t="s">
        <v>151</v>
      </c>
      <c r="L4977">
        <v>100021061</v>
      </c>
      <c r="M4977" t="s">
        <v>992</v>
      </c>
    </row>
    <row r="4978" spans="3:13">
      <c r="C4978">
        <v>2100300025</v>
      </c>
      <c r="D4978">
        <v>6431000</v>
      </c>
      <c r="E4978" t="s">
        <v>188</v>
      </c>
      <c r="F4978">
        <v>5102010199</v>
      </c>
      <c r="G4978" s="13">
        <v>1555</v>
      </c>
      <c r="I4978" t="s">
        <v>144</v>
      </c>
      <c r="J4978" t="s">
        <v>899</v>
      </c>
      <c r="K4978" t="s">
        <v>151</v>
      </c>
      <c r="L4978">
        <v>100014140</v>
      </c>
      <c r="M4978" t="s">
        <v>992</v>
      </c>
    </row>
    <row r="4979" spans="3:13">
      <c r="C4979">
        <v>2100300025</v>
      </c>
      <c r="D4979">
        <v>6431000</v>
      </c>
      <c r="E4979" t="s">
        <v>188</v>
      </c>
      <c r="F4979">
        <v>5102010199</v>
      </c>
      <c r="G4979" s="13">
        <v>45000</v>
      </c>
      <c r="I4979" t="s">
        <v>144</v>
      </c>
      <c r="J4979" t="s">
        <v>905</v>
      </c>
      <c r="K4979" t="s">
        <v>151</v>
      </c>
      <c r="L4979">
        <v>100024756</v>
      </c>
      <c r="M4979" t="s">
        <v>992</v>
      </c>
    </row>
    <row r="4980" spans="3:13">
      <c r="C4980">
        <v>2100300025</v>
      </c>
      <c r="D4980">
        <v>6431000</v>
      </c>
      <c r="E4980" t="s">
        <v>188</v>
      </c>
      <c r="F4980">
        <v>5102010199</v>
      </c>
      <c r="G4980" s="13">
        <v>14200</v>
      </c>
      <c r="I4980" t="s">
        <v>144</v>
      </c>
      <c r="J4980" t="s">
        <v>822</v>
      </c>
      <c r="K4980" t="s">
        <v>151</v>
      </c>
      <c r="L4980">
        <v>100024859</v>
      </c>
      <c r="M4980" t="s">
        <v>999</v>
      </c>
    </row>
    <row r="4981" spans="3:13">
      <c r="C4981">
        <v>2100300025</v>
      </c>
      <c r="D4981">
        <v>6431000</v>
      </c>
      <c r="E4981" t="s">
        <v>188</v>
      </c>
      <c r="F4981">
        <v>5102010199</v>
      </c>
      <c r="G4981" s="13">
        <v>50000</v>
      </c>
      <c r="I4981" t="s">
        <v>144</v>
      </c>
      <c r="J4981" t="s">
        <v>822</v>
      </c>
      <c r="K4981" t="s">
        <v>151</v>
      </c>
      <c r="L4981">
        <v>100024860</v>
      </c>
      <c r="M4981" t="s">
        <v>1000</v>
      </c>
    </row>
    <row r="4982" spans="3:13">
      <c r="C4982">
        <v>2100300025</v>
      </c>
      <c r="D4982">
        <v>6431000</v>
      </c>
      <c r="E4982" t="s">
        <v>188</v>
      </c>
      <c r="F4982">
        <v>5102010199</v>
      </c>
      <c r="G4982" s="13">
        <v>45000</v>
      </c>
      <c r="I4982" t="s">
        <v>144</v>
      </c>
      <c r="J4982" t="s">
        <v>821</v>
      </c>
      <c r="K4982" t="s">
        <v>151</v>
      </c>
      <c r="L4982">
        <v>100029829</v>
      </c>
      <c r="M4982" t="s">
        <v>992</v>
      </c>
    </row>
    <row r="4983" spans="3:13">
      <c r="C4983">
        <v>2100300025</v>
      </c>
      <c r="D4983">
        <v>6431000</v>
      </c>
      <c r="E4983" t="s">
        <v>188</v>
      </c>
      <c r="F4983">
        <v>5102010199</v>
      </c>
      <c r="G4983" s="13">
        <v>49405</v>
      </c>
      <c r="I4983" t="s">
        <v>144</v>
      </c>
      <c r="J4983" t="s">
        <v>821</v>
      </c>
      <c r="K4983" t="s">
        <v>151</v>
      </c>
      <c r="L4983">
        <v>100029224</v>
      </c>
      <c r="M4983" t="s">
        <v>992</v>
      </c>
    </row>
    <row r="4984" spans="3:13">
      <c r="C4984">
        <v>2100300025</v>
      </c>
      <c r="D4984">
        <v>6431000</v>
      </c>
      <c r="E4984" t="s">
        <v>188</v>
      </c>
      <c r="F4984">
        <v>5102010199</v>
      </c>
      <c r="G4984">
        <v>375</v>
      </c>
      <c r="I4984" t="s">
        <v>144</v>
      </c>
      <c r="J4984" t="s">
        <v>902</v>
      </c>
      <c r="K4984" t="s">
        <v>151</v>
      </c>
      <c r="L4984">
        <v>100023112</v>
      </c>
      <c r="M4984" t="s">
        <v>992</v>
      </c>
    </row>
    <row r="4985" spans="3:13">
      <c r="C4985">
        <v>2100300025</v>
      </c>
      <c r="D4985">
        <v>6431000</v>
      </c>
      <c r="E4985" t="s">
        <v>188</v>
      </c>
      <c r="F4985">
        <v>5102010199</v>
      </c>
      <c r="G4985" s="13">
        <v>7800</v>
      </c>
      <c r="I4985" t="s">
        <v>144</v>
      </c>
      <c r="J4985" t="s">
        <v>825</v>
      </c>
      <c r="K4985" t="s">
        <v>151</v>
      </c>
      <c r="L4985">
        <v>100028350</v>
      </c>
      <c r="M4985" t="s">
        <v>992</v>
      </c>
    </row>
    <row r="4986" spans="3:13">
      <c r="C4986">
        <v>2100300025</v>
      </c>
      <c r="D4986">
        <v>6431000</v>
      </c>
      <c r="E4986" t="s">
        <v>188</v>
      </c>
      <c r="F4986">
        <v>5102010199</v>
      </c>
      <c r="G4986" s="13">
        <v>5000</v>
      </c>
      <c r="I4986" t="s">
        <v>144</v>
      </c>
      <c r="J4986" t="s">
        <v>1001</v>
      </c>
      <c r="K4986" t="s">
        <v>151</v>
      </c>
      <c r="L4986">
        <v>100028393</v>
      </c>
      <c r="M4986" t="s">
        <v>992</v>
      </c>
    </row>
    <row r="4987" spans="3:13">
      <c r="C4987">
        <v>2100300025</v>
      </c>
      <c r="D4987">
        <v>6431000</v>
      </c>
      <c r="E4987" t="s">
        <v>188</v>
      </c>
      <c r="F4987">
        <v>5102010199</v>
      </c>
      <c r="G4987" s="13">
        <v>1500</v>
      </c>
      <c r="I4987" t="s">
        <v>144</v>
      </c>
      <c r="J4987" t="s">
        <v>830</v>
      </c>
      <c r="K4987" t="s">
        <v>151</v>
      </c>
      <c r="L4987">
        <v>100039640</v>
      </c>
      <c r="M4987" t="s">
        <v>992</v>
      </c>
    </row>
    <row r="4988" spans="3:13">
      <c r="C4988">
        <v>2100300025</v>
      </c>
      <c r="D4988">
        <v>6431000</v>
      </c>
      <c r="E4988" t="s">
        <v>188</v>
      </c>
      <c r="F4988">
        <v>5102010199</v>
      </c>
      <c r="G4988" s="13">
        <v>9000</v>
      </c>
      <c r="I4988" t="s">
        <v>144</v>
      </c>
      <c r="J4988" t="s">
        <v>832</v>
      </c>
      <c r="K4988" t="s">
        <v>151</v>
      </c>
      <c r="L4988">
        <v>100032376</v>
      </c>
      <c r="M4988" t="s">
        <v>992</v>
      </c>
    </row>
    <row r="4989" spans="3:13">
      <c r="C4989">
        <v>2100300025</v>
      </c>
      <c r="D4989">
        <v>6431000</v>
      </c>
      <c r="E4989" t="s">
        <v>188</v>
      </c>
      <c r="F4989">
        <v>5102010199</v>
      </c>
      <c r="G4989" s="13">
        <v>-24970</v>
      </c>
      <c r="I4989" t="s">
        <v>144</v>
      </c>
      <c r="J4989" t="s">
        <v>836</v>
      </c>
      <c r="K4989" t="s">
        <v>151</v>
      </c>
      <c r="L4989">
        <v>100051724</v>
      </c>
      <c r="M4989" t="s">
        <v>1002</v>
      </c>
    </row>
    <row r="4990" spans="3:13">
      <c r="C4990">
        <v>2100300025</v>
      </c>
      <c r="D4990">
        <v>6431000</v>
      </c>
      <c r="E4990" t="s">
        <v>188</v>
      </c>
      <c r="F4990">
        <v>5102010199</v>
      </c>
      <c r="G4990" s="13">
        <v>5900</v>
      </c>
      <c r="I4990" t="s">
        <v>144</v>
      </c>
      <c r="J4990" t="s">
        <v>836</v>
      </c>
      <c r="K4990" t="s">
        <v>151</v>
      </c>
      <c r="L4990">
        <v>100051725</v>
      </c>
      <c r="M4990" t="s">
        <v>1003</v>
      </c>
    </row>
    <row r="4991" spans="3:13">
      <c r="C4991">
        <v>2100300025</v>
      </c>
      <c r="D4991">
        <v>6431000</v>
      </c>
      <c r="E4991" t="s">
        <v>188</v>
      </c>
      <c r="F4991">
        <v>5102010199</v>
      </c>
      <c r="G4991" s="13">
        <v>9490</v>
      </c>
      <c r="I4991" t="s">
        <v>144</v>
      </c>
      <c r="J4991" t="s">
        <v>936</v>
      </c>
      <c r="K4991" t="s">
        <v>151</v>
      </c>
      <c r="L4991">
        <v>100055926</v>
      </c>
      <c r="M4991" t="s">
        <v>992</v>
      </c>
    </row>
    <row r="4992" spans="3:13">
      <c r="C4992">
        <v>2100300025</v>
      </c>
      <c r="D4992">
        <v>6431000</v>
      </c>
      <c r="E4992" t="s">
        <v>188</v>
      </c>
      <c r="F4992">
        <v>5102010199</v>
      </c>
      <c r="G4992" s="13">
        <v>7600</v>
      </c>
      <c r="I4992" t="s">
        <v>144</v>
      </c>
      <c r="J4992" t="s">
        <v>837</v>
      </c>
      <c r="K4992" t="s">
        <v>151</v>
      </c>
      <c r="L4992">
        <v>100050927</v>
      </c>
      <c r="M4992" t="s">
        <v>992</v>
      </c>
    </row>
    <row r="4993" spans="3:13">
      <c r="C4993">
        <v>2100300025</v>
      </c>
      <c r="D4993">
        <v>6431000</v>
      </c>
      <c r="E4993" t="s">
        <v>188</v>
      </c>
      <c r="F4993">
        <v>5102010199</v>
      </c>
      <c r="G4993" s="13">
        <v>1200</v>
      </c>
      <c r="I4993" t="s">
        <v>144</v>
      </c>
      <c r="J4993" t="s">
        <v>944</v>
      </c>
      <c r="K4993" t="s">
        <v>151</v>
      </c>
      <c r="L4993">
        <v>100051600</v>
      </c>
      <c r="M4993" t="s">
        <v>1004</v>
      </c>
    </row>
    <row r="4994" spans="3:13">
      <c r="C4994">
        <v>2100300025</v>
      </c>
      <c r="D4994">
        <v>6431000</v>
      </c>
      <c r="E4994" t="s">
        <v>188</v>
      </c>
      <c r="F4994">
        <v>5102010199</v>
      </c>
      <c r="G4994" s="13">
        <v>1000</v>
      </c>
      <c r="I4994" t="s">
        <v>144</v>
      </c>
      <c r="J4994" t="s">
        <v>844</v>
      </c>
      <c r="K4994" t="s">
        <v>151</v>
      </c>
      <c r="L4994">
        <v>100064346</v>
      </c>
      <c r="M4994" t="s">
        <v>992</v>
      </c>
    </row>
    <row r="4995" spans="3:13">
      <c r="C4995">
        <v>2100300025</v>
      </c>
      <c r="D4995">
        <v>6431000</v>
      </c>
      <c r="E4995" t="s">
        <v>188</v>
      </c>
      <c r="F4995">
        <v>5102010199</v>
      </c>
      <c r="G4995" s="13">
        <v>2500</v>
      </c>
      <c r="I4995" t="s">
        <v>144</v>
      </c>
      <c r="J4995" t="s">
        <v>946</v>
      </c>
      <c r="K4995" t="s">
        <v>151</v>
      </c>
      <c r="L4995">
        <v>100071027</v>
      </c>
      <c r="M4995" t="s">
        <v>992</v>
      </c>
    </row>
    <row r="4996" spans="3:13">
      <c r="C4996">
        <v>2100300025</v>
      </c>
      <c r="D4996">
        <v>6431000</v>
      </c>
      <c r="E4996" t="s">
        <v>188</v>
      </c>
      <c r="F4996">
        <v>5102010199</v>
      </c>
      <c r="G4996" s="13">
        <v>2400</v>
      </c>
      <c r="I4996" t="s">
        <v>144</v>
      </c>
      <c r="J4996" t="s">
        <v>957</v>
      </c>
      <c r="K4996" t="s">
        <v>151</v>
      </c>
      <c r="L4996">
        <v>100073505</v>
      </c>
      <c r="M4996" t="s">
        <v>992</v>
      </c>
    </row>
    <row r="4997" spans="3:13">
      <c r="C4997">
        <v>2100300025</v>
      </c>
      <c r="D4997">
        <v>6431000</v>
      </c>
      <c r="E4997" t="s">
        <v>188</v>
      </c>
      <c r="F4997">
        <v>5102010199</v>
      </c>
      <c r="G4997" s="13">
        <v>22000</v>
      </c>
      <c r="I4997" t="s">
        <v>144</v>
      </c>
      <c r="J4997" t="s">
        <v>850</v>
      </c>
      <c r="K4997" t="s">
        <v>151</v>
      </c>
      <c r="L4997">
        <v>100067870</v>
      </c>
      <c r="M4997" t="s">
        <v>992</v>
      </c>
    </row>
    <row r="4998" spans="3:13">
      <c r="C4998">
        <v>2100300025</v>
      </c>
      <c r="D4998">
        <v>6431000</v>
      </c>
      <c r="E4998" t="s">
        <v>188</v>
      </c>
      <c r="F4998">
        <v>5102010199</v>
      </c>
      <c r="G4998">
        <v>880</v>
      </c>
      <c r="I4998" t="s">
        <v>144</v>
      </c>
      <c r="J4998" t="s">
        <v>965</v>
      </c>
      <c r="K4998" t="s">
        <v>151</v>
      </c>
      <c r="L4998">
        <v>100078140</v>
      </c>
      <c r="M4998" t="s">
        <v>992</v>
      </c>
    </row>
    <row r="4999" spans="3:13">
      <c r="C4999">
        <v>2100300025</v>
      </c>
      <c r="D4999">
        <v>6431000</v>
      </c>
      <c r="E4999" t="s">
        <v>188</v>
      </c>
      <c r="F4999">
        <v>5102010199</v>
      </c>
      <c r="G4999">
        <v>480</v>
      </c>
      <c r="I4999" t="s">
        <v>144</v>
      </c>
      <c r="J4999" t="s">
        <v>966</v>
      </c>
      <c r="K4999" t="s">
        <v>151</v>
      </c>
      <c r="L4999">
        <v>100075650</v>
      </c>
      <c r="M4999" t="s">
        <v>1004</v>
      </c>
    </row>
    <row r="5000" spans="3:13">
      <c r="C5000">
        <v>2100300025</v>
      </c>
      <c r="D5000">
        <v>6431000</v>
      </c>
      <c r="E5000" t="s">
        <v>188</v>
      </c>
      <c r="F5000">
        <v>5102010199</v>
      </c>
      <c r="G5000" s="13">
        <v>2220</v>
      </c>
      <c r="I5000" t="s">
        <v>144</v>
      </c>
      <c r="J5000" t="s">
        <v>1005</v>
      </c>
      <c r="K5000" t="s">
        <v>151</v>
      </c>
      <c r="L5000">
        <v>100054311</v>
      </c>
      <c r="M5000" t="s">
        <v>992</v>
      </c>
    </row>
    <row r="5001" spans="3:13">
      <c r="C5001">
        <v>2100300025</v>
      </c>
      <c r="D5001">
        <v>6431000</v>
      </c>
      <c r="E5001" t="s">
        <v>188</v>
      </c>
      <c r="F5001">
        <v>5102010199</v>
      </c>
      <c r="G5001" s="13">
        <v>2040</v>
      </c>
      <c r="I5001" t="s">
        <v>144</v>
      </c>
      <c r="J5001" t="s">
        <v>558</v>
      </c>
      <c r="K5001" t="s">
        <v>151</v>
      </c>
      <c r="L5001">
        <v>100090761</v>
      </c>
      <c r="M5001" t="s">
        <v>992</v>
      </c>
    </row>
    <row r="5002" spans="3:13">
      <c r="C5002">
        <v>2100300025</v>
      </c>
      <c r="D5002">
        <v>6431000</v>
      </c>
      <c r="E5002" t="s">
        <v>188</v>
      </c>
      <c r="F5002">
        <v>5102010199</v>
      </c>
      <c r="G5002" s="13">
        <v>7140</v>
      </c>
      <c r="I5002" t="s">
        <v>144</v>
      </c>
      <c r="J5002" t="s">
        <v>987</v>
      </c>
      <c r="K5002" t="s">
        <v>151</v>
      </c>
      <c r="L5002">
        <v>100078963</v>
      </c>
      <c r="M5002" t="s">
        <v>1006</v>
      </c>
    </row>
    <row r="5003" spans="3:13">
      <c r="C5003">
        <v>2100300025</v>
      </c>
      <c r="D5003">
        <v>6431000</v>
      </c>
      <c r="E5003" t="s">
        <v>188</v>
      </c>
      <c r="F5003">
        <v>5102010199</v>
      </c>
      <c r="G5003" s="13">
        <v>3960</v>
      </c>
      <c r="I5003" t="s">
        <v>144</v>
      </c>
      <c r="J5003" t="s">
        <v>980</v>
      </c>
      <c r="K5003" t="s">
        <v>151</v>
      </c>
      <c r="L5003">
        <v>100100802</v>
      </c>
      <c r="M5003" t="s">
        <v>992</v>
      </c>
    </row>
    <row r="5004" spans="3:13">
      <c r="C5004">
        <v>2100300025</v>
      </c>
      <c r="D5004">
        <v>6431000</v>
      </c>
      <c r="E5004" t="s">
        <v>188</v>
      </c>
      <c r="F5004">
        <v>5102010199</v>
      </c>
      <c r="G5004" s="13">
        <v>108000</v>
      </c>
      <c r="I5004" t="s">
        <v>144</v>
      </c>
      <c r="J5004" t="s">
        <v>867</v>
      </c>
      <c r="K5004" t="s">
        <v>151</v>
      </c>
      <c r="L5004">
        <v>100095099</v>
      </c>
      <c r="M5004" t="s">
        <v>992</v>
      </c>
    </row>
    <row r="5005" spans="3:13">
      <c r="C5005">
        <v>2100300025</v>
      </c>
      <c r="D5005">
        <v>6431000</v>
      </c>
      <c r="E5005" t="s">
        <v>188</v>
      </c>
      <c r="F5005">
        <v>5102010199</v>
      </c>
      <c r="G5005" s="13">
        <v>62700</v>
      </c>
      <c r="I5005" t="s">
        <v>144</v>
      </c>
      <c r="J5005" t="s">
        <v>869</v>
      </c>
      <c r="K5005" t="s">
        <v>151</v>
      </c>
      <c r="L5005">
        <v>100096364</v>
      </c>
      <c r="M5005" t="s">
        <v>1007</v>
      </c>
    </row>
    <row r="5006" spans="3:13">
      <c r="C5006">
        <v>2100300025</v>
      </c>
      <c r="D5006">
        <v>6431000</v>
      </c>
      <c r="E5006" t="s">
        <v>188</v>
      </c>
      <c r="F5006">
        <v>5102010199</v>
      </c>
      <c r="G5006" s="13">
        <v>4300</v>
      </c>
      <c r="I5006" t="s">
        <v>144</v>
      </c>
      <c r="J5006" t="s">
        <v>869</v>
      </c>
      <c r="K5006" t="s">
        <v>151</v>
      </c>
      <c r="L5006">
        <v>100104011</v>
      </c>
      <c r="M5006" t="s">
        <v>1008</v>
      </c>
    </row>
    <row r="5007" spans="3:13">
      <c r="C5007">
        <v>2100300025</v>
      </c>
      <c r="D5007">
        <v>6431000</v>
      </c>
      <c r="E5007" t="s">
        <v>188</v>
      </c>
      <c r="F5007">
        <v>5102010199</v>
      </c>
      <c r="G5007" s="13">
        <v>4650</v>
      </c>
      <c r="I5007" t="s">
        <v>144</v>
      </c>
      <c r="J5007" t="s">
        <v>869</v>
      </c>
      <c r="K5007" t="s">
        <v>151</v>
      </c>
      <c r="L5007">
        <v>100104822</v>
      </c>
      <c r="M5007" t="s">
        <v>1009</v>
      </c>
    </row>
    <row r="5008" spans="3:13">
      <c r="C5008">
        <v>2100300025</v>
      </c>
      <c r="D5008">
        <v>6431000</v>
      </c>
      <c r="E5008" t="s">
        <v>188</v>
      </c>
      <c r="F5008">
        <v>5102010199</v>
      </c>
      <c r="G5008" s="13">
        <v>-7205</v>
      </c>
      <c r="I5008" t="s">
        <v>144</v>
      </c>
      <c r="J5008" t="s">
        <v>817</v>
      </c>
      <c r="K5008" t="s">
        <v>151</v>
      </c>
      <c r="L5008">
        <v>100021063</v>
      </c>
    </row>
    <row r="5009" spans="3:13">
      <c r="C5009">
        <v>2100300025</v>
      </c>
      <c r="D5009">
        <v>6431000</v>
      </c>
      <c r="E5009" t="s">
        <v>188</v>
      </c>
      <c r="F5009">
        <v>5102010199</v>
      </c>
      <c r="G5009" s="13">
        <v>100000</v>
      </c>
      <c r="I5009" t="s">
        <v>144</v>
      </c>
      <c r="J5009" t="s">
        <v>1010</v>
      </c>
      <c r="K5009" t="s">
        <v>151</v>
      </c>
      <c r="L5009">
        <v>100029745</v>
      </c>
      <c r="M5009" t="s">
        <v>992</v>
      </c>
    </row>
    <row r="5010" spans="3:13">
      <c r="C5010">
        <v>2100300025</v>
      </c>
      <c r="D5010">
        <v>6431000</v>
      </c>
      <c r="E5010" t="s">
        <v>188</v>
      </c>
      <c r="F5010">
        <v>5102010199</v>
      </c>
      <c r="G5010" s="13">
        <v>86130</v>
      </c>
      <c r="I5010" t="s">
        <v>144</v>
      </c>
      <c r="J5010" t="s">
        <v>910</v>
      </c>
      <c r="K5010" t="s">
        <v>151</v>
      </c>
      <c r="L5010">
        <v>100026746</v>
      </c>
      <c r="M5010" t="s">
        <v>992</v>
      </c>
    </row>
    <row r="5011" spans="3:13">
      <c r="C5011">
        <v>2100300025</v>
      </c>
      <c r="D5011">
        <v>6431000</v>
      </c>
      <c r="E5011" t="s">
        <v>188</v>
      </c>
      <c r="F5011">
        <v>5102010199</v>
      </c>
      <c r="G5011" s="13">
        <v>5810</v>
      </c>
      <c r="I5011" t="s">
        <v>144</v>
      </c>
      <c r="J5011" t="s">
        <v>831</v>
      </c>
      <c r="K5011" t="s">
        <v>151</v>
      </c>
      <c r="L5011">
        <v>100048958</v>
      </c>
      <c r="M5011" t="s">
        <v>999</v>
      </c>
    </row>
    <row r="5012" spans="3:13">
      <c r="C5012">
        <v>2100300025</v>
      </c>
      <c r="D5012">
        <v>6431000</v>
      </c>
      <c r="E5012" t="s">
        <v>188</v>
      </c>
      <c r="F5012">
        <v>5102010199</v>
      </c>
      <c r="G5012" s="13">
        <v>53800</v>
      </c>
      <c r="I5012" t="s">
        <v>144</v>
      </c>
      <c r="J5012" t="s">
        <v>835</v>
      </c>
      <c r="K5012" t="s">
        <v>151</v>
      </c>
      <c r="L5012">
        <v>100059503</v>
      </c>
      <c r="M5012" t="s">
        <v>992</v>
      </c>
    </row>
    <row r="5013" spans="3:13">
      <c r="C5013">
        <v>2100300025</v>
      </c>
      <c r="D5013">
        <v>6431000</v>
      </c>
      <c r="E5013" t="s">
        <v>188</v>
      </c>
      <c r="F5013">
        <v>5103010102</v>
      </c>
      <c r="G5013" s="13">
        <v>2160</v>
      </c>
      <c r="I5013" t="s">
        <v>144</v>
      </c>
      <c r="J5013" t="s">
        <v>832</v>
      </c>
      <c r="K5013" t="s">
        <v>63</v>
      </c>
      <c r="L5013">
        <v>100045856</v>
      </c>
      <c r="M5013" t="s">
        <v>63</v>
      </c>
    </row>
    <row r="5014" spans="3:13">
      <c r="C5014">
        <v>2100300025</v>
      </c>
      <c r="D5014">
        <v>6431000</v>
      </c>
      <c r="E5014" t="s">
        <v>188</v>
      </c>
      <c r="F5014">
        <v>5103010103</v>
      </c>
      <c r="G5014" s="13">
        <v>6800</v>
      </c>
      <c r="I5014" t="s">
        <v>144</v>
      </c>
      <c r="J5014" t="s">
        <v>832</v>
      </c>
      <c r="K5014" t="s">
        <v>65</v>
      </c>
      <c r="L5014">
        <v>100045856</v>
      </c>
      <c r="M5014" t="s">
        <v>65</v>
      </c>
    </row>
    <row r="5015" spans="3:13">
      <c r="C5015">
        <v>2100300025</v>
      </c>
      <c r="D5015">
        <v>6431000</v>
      </c>
      <c r="E5015" t="s">
        <v>188</v>
      </c>
      <c r="F5015">
        <v>5103010199</v>
      </c>
      <c r="G5015" s="13">
        <v>1270</v>
      </c>
      <c r="I5015" t="s">
        <v>144</v>
      </c>
      <c r="J5015" t="s">
        <v>832</v>
      </c>
      <c r="K5015" t="s">
        <v>152</v>
      </c>
      <c r="L5015">
        <v>100045856</v>
      </c>
      <c r="M5015" t="s">
        <v>1011</v>
      </c>
    </row>
    <row r="5016" spans="3:13">
      <c r="C5016">
        <v>2100300025</v>
      </c>
      <c r="D5016">
        <v>6426000</v>
      </c>
      <c r="E5016" t="s">
        <v>188</v>
      </c>
      <c r="F5016">
        <v>5104010104</v>
      </c>
      <c r="G5016" s="13">
        <v>-514872.29</v>
      </c>
      <c r="I5016" t="s">
        <v>144</v>
      </c>
      <c r="J5016" t="s">
        <v>555</v>
      </c>
      <c r="K5016" t="s">
        <v>69</v>
      </c>
      <c r="L5016">
        <v>100026715</v>
      </c>
    </row>
    <row r="5017" spans="3:13">
      <c r="C5017">
        <v>2100300025</v>
      </c>
      <c r="D5017">
        <v>6426000</v>
      </c>
      <c r="E5017" t="s">
        <v>188</v>
      </c>
      <c r="F5017">
        <v>5104010104</v>
      </c>
      <c r="G5017" s="13">
        <v>-948241.29</v>
      </c>
      <c r="I5017" t="s">
        <v>144</v>
      </c>
      <c r="J5017" t="s">
        <v>1012</v>
      </c>
      <c r="K5017" t="s">
        <v>69</v>
      </c>
      <c r="L5017">
        <v>100024784</v>
      </c>
    </row>
    <row r="5018" spans="3:13">
      <c r="C5018">
        <v>2100300025</v>
      </c>
      <c r="D5018">
        <v>6426000</v>
      </c>
      <c r="E5018" t="s">
        <v>188</v>
      </c>
      <c r="F5018">
        <v>5104010104</v>
      </c>
      <c r="G5018" s="13">
        <v>-1150000</v>
      </c>
      <c r="I5018" t="s">
        <v>144</v>
      </c>
      <c r="J5018" t="s">
        <v>951</v>
      </c>
      <c r="K5018" t="s">
        <v>69</v>
      </c>
      <c r="L5018">
        <v>100073077</v>
      </c>
    </row>
    <row r="5019" spans="3:13">
      <c r="C5019">
        <v>2100300025</v>
      </c>
      <c r="D5019">
        <v>6431000</v>
      </c>
      <c r="E5019" t="s">
        <v>188</v>
      </c>
      <c r="F5019">
        <v>5104010104</v>
      </c>
      <c r="G5019">
        <v>-4</v>
      </c>
      <c r="I5019" t="s">
        <v>144</v>
      </c>
      <c r="J5019" t="s">
        <v>843</v>
      </c>
      <c r="K5019" t="s">
        <v>69</v>
      </c>
      <c r="L5019">
        <v>100052481</v>
      </c>
    </row>
    <row r="5020" spans="3:13">
      <c r="C5020">
        <v>2100300025</v>
      </c>
      <c r="D5020">
        <v>6431000</v>
      </c>
      <c r="E5020" t="s">
        <v>188</v>
      </c>
      <c r="F5020">
        <v>5104010104</v>
      </c>
      <c r="G5020" s="13">
        <v>3331220.78</v>
      </c>
      <c r="I5020" t="s">
        <v>144</v>
      </c>
      <c r="J5020" t="s">
        <v>555</v>
      </c>
      <c r="K5020" t="s">
        <v>69</v>
      </c>
      <c r="L5020">
        <v>100023880</v>
      </c>
      <c r="M5020" t="s">
        <v>1013</v>
      </c>
    </row>
    <row r="5021" spans="3:13">
      <c r="C5021">
        <v>2100300025</v>
      </c>
      <c r="D5021">
        <v>6431000</v>
      </c>
      <c r="E5021" t="s">
        <v>188</v>
      </c>
      <c r="F5021">
        <v>5104010104</v>
      </c>
      <c r="G5021">
        <v>-10</v>
      </c>
      <c r="I5021" t="s">
        <v>144</v>
      </c>
      <c r="J5021" t="s">
        <v>838</v>
      </c>
      <c r="K5021" t="s">
        <v>69</v>
      </c>
      <c r="L5021">
        <v>100057230</v>
      </c>
    </row>
    <row r="5022" spans="3:13">
      <c r="C5022">
        <v>2100300025</v>
      </c>
      <c r="D5022">
        <v>6431000</v>
      </c>
      <c r="E5022" t="s">
        <v>188</v>
      </c>
      <c r="F5022">
        <v>5104010104</v>
      </c>
      <c r="G5022" s="13">
        <v>-10460557.960000001</v>
      </c>
      <c r="I5022" t="s">
        <v>144</v>
      </c>
      <c r="J5022" t="s">
        <v>591</v>
      </c>
      <c r="K5022" t="s">
        <v>69</v>
      </c>
      <c r="L5022">
        <v>100108361</v>
      </c>
    </row>
    <row r="5023" spans="3:13">
      <c r="C5023">
        <v>2100300025</v>
      </c>
      <c r="D5023">
        <v>6431000</v>
      </c>
      <c r="E5023" t="s">
        <v>188</v>
      </c>
      <c r="F5023">
        <v>5104010104</v>
      </c>
      <c r="G5023" s="13">
        <v>-1238758.46</v>
      </c>
      <c r="I5023" t="s">
        <v>144</v>
      </c>
      <c r="J5023" t="s">
        <v>591</v>
      </c>
      <c r="K5023" t="s">
        <v>69</v>
      </c>
      <c r="L5023">
        <v>100106685</v>
      </c>
    </row>
    <row r="5024" spans="3:13">
      <c r="C5024">
        <v>2100300025</v>
      </c>
      <c r="D5024">
        <v>6426000</v>
      </c>
      <c r="E5024" t="s">
        <v>188</v>
      </c>
      <c r="F5024">
        <v>5104010107</v>
      </c>
      <c r="G5024">
        <v>374.5</v>
      </c>
      <c r="I5024" t="s">
        <v>144</v>
      </c>
      <c r="J5024" t="s">
        <v>900</v>
      </c>
      <c r="K5024" t="s">
        <v>154</v>
      </c>
      <c r="L5024">
        <v>100017144</v>
      </c>
    </row>
    <row r="5025" spans="3:13">
      <c r="C5025">
        <v>2100300025</v>
      </c>
      <c r="D5025">
        <v>6426000</v>
      </c>
      <c r="E5025" t="s">
        <v>188</v>
      </c>
      <c r="F5025">
        <v>5104010112</v>
      </c>
      <c r="G5025" s="13">
        <v>3600</v>
      </c>
      <c r="I5025" t="s">
        <v>144</v>
      </c>
      <c r="J5025" t="s">
        <v>985</v>
      </c>
      <c r="K5025" t="s">
        <v>490</v>
      </c>
      <c r="L5025">
        <v>100078980</v>
      </c>
    </row>
    <row r="5026" spans="3:13">
      <c r="C5026">
        <v>2100300025</v>
      </c>
      <c r="D5026">
        <v>6431000</v>
      </c>
      <c r="E5026" t="s">
        <v>188</v>
      </c>
      <c r="F5026">
        <v>5104010112</v>
      </c>
      <c r="G5026" s="13">
        <v>-17500</v>
      </c>
      <c r="I5026" t="s">
        <v>144</v>
      </c>
      <c r="J5026" t="s">
        <v>863</v>
      </c>
      <c r="K5026" t="s">
        <v>490</v>
      </c>
      <c r="L5026">
        <v>100096293</v>
      </c>
    </row>
    <row r="5027" spans="3:13">
      <c r="C5027">
        <v>2100300025</v>
      </c>
      <c r="D5027">
        <v>6431000</v>
      </c>
      <c r="E5027" t="s">
        <v>188</v>
      </c>
      <c r="F5027">
        <v>5104010112</v>
      </c>
      <c r="G5027" s="13">
        <v>18400</v>
      </c>
      <c r="I5027" t="s">
        <v>144</v>
      </c>
      <c r="J5027" t="s">
        <v>981</v>
      </c>
      <c r="K5027" t="s">
        <v>490</v>
      </c>
      <c r="L5027">
        <v>100096240</v>
      </c>
      <c r="M5027" t="s">
        <v>1014</v>
      </c>
    </row>
    <row r="5028" spans="3:13">
      <c r="C5028">
        <v>2100300025</v>
      </c>
      <c r="D5028">
        <v>6431000</v>
      </c>
      <c r="E5028" t="s">
        <v>188</v>
      </c>
      <c r="F5028">
        <v>5104030205</v>
      </c>
      <c r="G5028" s="13">
        <v>10460557.960000001</v>
      </c>
      <c r="I5028" t="s">
        <v>144</v>
      </c>
      <c r="J5028" t="s">
        <v>591</v>
      </c>
      <c r="K5028" t="s">
        <v>521</v>
      </c>
      <c r="L5028">
        <v>100108361</v>
      </c>
      <c r="M5028" t="s">
        <v>1015</v>
      </c>
    </row>
    <row r="5029" spans="3:13">
      <c r="C5029">
        <v>2100300025</v>
      </c>
      <c r="D5029">
        <v>6426000</v>
      </c>
      <c r="E5029" t="s">
        <v>188</v>
      </c>
      <c r="F5029">
        <v>5104030206</v>
      </c>
      <c r="G5029">
        <v>-374.5</v>
      </c>
      <c r="I5029" t="s">
        <v>144</v>
      </c>
      <c r="J5029" t="s">
        <v>900</v>
      </c>
      <c r="K5029" t="s">
        <v>522</v>
      </c>
      <c r="L5029">
        <v>100017144</v>
      </c>
    </row>
    <row r="5030" spans="3:13">
      <c r="C5030">
        <v>2100300025</v>
      </c>
      <c r="D5030">
        <v>6426000</v>
      </c>
      <c r="E5030" t="s">
        <v>188</v>
      </c>
      <c r="F5030">
        <v>5104030206</v>
      </c>
      <c r="G5030" s="13">
        <v>-3600</v>
      </c>
      <c r="I5030" t="s">
        <v>144</v>
      </c>
      <c r="J5030" t="s">
        <v>985</v>
      </c>
      <c r="K5030" t="s">
        <v>522</v>
      </c>
      <c r="L5030">
        <v>100078980</v>
      </c>
    </row>
    <row r="5031" spans="3:13">
      <c r="C5031">
        <v>2100300025</v>
      </c>
      <c r="D5031">
        <v>6431000</v>
      </c>
      <c r="E5031" t="s">
        <v>188</v>
      </c>
      <c r="F5031">
        <v>5104020101</v>
      </c>
      <c r="G5031" s="13">
        <v>678273.66</v>
      </c>
      <c r="I5031" t="s">
        <v>144</v>
      </c>
      <c r="J5031" t="s">
        <v>591</v>
      </c>
      <c r="K5031" t="s">
        <v>79</v>
      </c>
      <c r="L5031">
        <v>100009887</v>
      </c>
    </row>
    <row r="5032" spans="3:13">
      <c r="C5032">
        <v>2100300025</v>
      </c>
      <c r="D5032">
        <v>6431000</v>
      </c>
      <c r="E5032" t="s">
        <v>188</v>
      </c>
      <c r="F5032">
        <v>5104030205</v>
      </c>
      <c r="G5032" s="13">
        <v>1238758.46</v>
      </c>
      <c r="I5032" t="s">
        <v>144</v>
      </c>
      <c r="J5032" t="s">
        <v>591</v>
      </c>
      <c r="K5032" t="s">
        <v>521</v>
      </c>
      <c r="L5032">
        <v>100108360</v>
      </c>
      <c r="M5032" t="s">
        <v>1016</v>
      </c>
    </row>
    <row r="5033" spans="3:13">
      <c r="C5033">
        <v>2100300025</v>
      </c>
      <c r="D5033">
        <v>6431000</v>
      </c>
      <c r="E5033" t="s">
        <v>188</v>
      </c>
      <c r="F5033">
        <v>5104030205</v>
      </c>
      <c r="G5033" s="13">
        <v>38663866.130000003</v>
      </c>
      <c r="I5033" t="s">
        <v>144</v>
      </c>
      <c r="J5033" t="s">
        <v>591</v>
      </c>
      <c r="K5033" t="s">
        <v>521</v>
      </c>
      <c r="L5033">
        <v>100108357</v>
      </c>
      <c r="M5033" t="s">
        <v>1016</v>
      </c>
    </row>
    <row r="5034" spans="3:13">
      <c r="C5034">
        <v>2100300025</v>
      </c>
      <c r="D5034">
        <v>6431000</v>
      </c>
      <c r="E5034" t="s">
        <v>188</v>
      </c>
      <c r="F5034">
        <v>5104040102</v>
      </c>
      <c r="G5034" s="13">
        <v>3600</v>
      </c>
      <c r="I5034" t="s">
        <v>144</v>
      </c>
      <c r="J5034" t="s">
        <v>807</v>
      </c>
      <c r="K5034" t="s">
        <v>159</v>
      </c>
      <c r="L5034">
        <v>100006428</v>
      </c>
      <c r="M5034" t="s">
        <v>1017</v>
      </c>
    </row>
    <row r="5035" spans="3:13">
      <c r="C5035">
        <v>2100300025</v>
      </c>
      <c r="D5035">
        <v>6431000</v>
      </c>
      <c r="E5035" t="s">
        <v>188</v>
      </c>
      <c r="F5035">
        <v>5104040102</v>
      </c>
      <c r="G5035" s="13">
        <v>1200</v>
      </c>
      <c r="I5035" t="s">
        <v>144</v>
      </c>
      <c r="J5035" t="s">
        <v>998</v>
      </c>
      <c r="K5035" t="s">
        <v>159</v>
      </c>
      <c r="L5035">
        <v>100009197</v>
      </c>
      <c r="M5035" t="s">
        <v>1017</v>
      </c>
    </row>
    <row r="5036" spans="3:13">
      <c r="C5036">
        <v>2100300025</v>
      </c>
      <c r="D5036">
        <v>6431000</v>
      </c>
      <c r="E5036" t="s">
        <v>188</v>
      </c>
      <c r="F5036">
        <v>5104040102</v>
      </c>
      <c r="G5036" s="13">
        <v>10800</v>
      </c>
      <c r="I5036" t="s">
        <v>144</v>
      </c>
      <c r="J5036" t="s">
        <v>897</v>
      </c>
      <c r="K5036" t="s">
        <v>159</v>
      </c>
      <c r="L5036">
        <v>100013379</v>
      </c>
      <c r="M5036" t="s">
        <v>1017</v>
      </c>
    </row>
    <row r="5037" spans="3:13">
      <c r="C5037">
        <v>2100300025</v>
      </c>
      <c r="D5037">
        <v>6431000</v>
      </c>
      <c r="E5037" t="s">
        <v>188</v>
      </c>
      <c r="F5037">
        <v>5104040102</v>
      </c>
      <c r="G5037" s="13">
        <v>3600</v>
      </c>
      <c r="I5037" t="s">
        <v>144</v>
      </c>
      <c r="J5037" t="s">
        <v>817</v>
      </c>
      <c r="K5037" t="s">
        <v>159</v>
      </c>
      <c r="L5037">
        <v>100021061</v>
      </c>
      <c r="M5037" t="s">
        <v>1017</v>
      </c>
    </row>
    <row r="5038" spans="3:13">
      <c r="C5038">
        <v>2100300025</v>
      </c>
      <c r="D5038">
        <v>6431000</v>
      </c>
      <c r="E5038" t="s">
        <v>188</v>
      </c>
      <c r="F5038">
        <v>5104040102</v>
      </c>
      <c r="G5038" s="13">
        <v>4200</v>
      </c>
      <c r="I5038" t="s">
        <v>144</v>
      </c>
      <c r="J5038" t="s">
        <v>899</v>
      </c>
      <c r="K5038" t="s">
        <v>159</v>
      </c>
      <c r="L5038">
        <v>100014140</v>
      </c>
      <c r="M5038" t="s">
        <v>1017</v>
      </c>
    </row>
    <row r="5039" spans="3:13">
      <c r="C5039">
        <v>2100300025</v>
      </c>
      <c r="D5039">
        <v>6431000</v>
      </c>
      <c r="E5039" t="s">
        <v>188</v>
      </c>
      <c r="F5039">
        <v>5104040102</v>
      </c>
      <c r="G5039" s="13">
        <v>9000</v>
      </c>
      <c r="I5039" t="s">
        <v>144</v>
      </c>
      <c r="J5039" t="s">
        <v>910</v>
      </c>
      <c r="K5039" t="s">
        <v>159</v>
      </c>
      <c r="L5039">
        <v>100026746</v>
      </c>
      <c r="M5039" t="s">
        <v>1017</v>
      </c>
    </row>
    <row r="5040" spans="3:13">
      <c r="C5040">
        <v>2100300025</v>
      </c>
      <c r="D5040">
        <v>6431000</v>
      </c>
      <c r="E5040" t="s">
        <v>188</v>
      </c>
      <c r="F5040">
        <v>5104040102</v>
      </c>
      <c r="G5040" s="13">
        <v>4200</v>
      </c>
      <c r="I5040" t="s">
        <v>144</v>
      </c>
      <c r="J5040" t="s">
        <v>822</v>
      </c>
      <c r="K5040" t="s">
        <v>159</v>
      </c>
      <c r="L5040">
        <v>100024859</v>
      </c>
      <c r="M5040" t="s">
        <v>1018</v>
      </c>
    </row>
    <row r="5041" spans="3:13">
      <c r="C5041">
        <v>2100300025</v>
      </c>
      <c r="D5041">
        <v>6431000</v>
      </c>
      <c r="E5041" t="s">
        <v>188</v>
      </c>
      <c r="F5041">
        <v>5104040102</v>
      </c>
      <c r="G5041" s="13">
        <v>28500</v>
      </c>
      <c r="I5041" t="s">
        <v>144</v>
      </c>
      <c r="J5041" t="s">
        <v>821</v>
      </c>
      <c r="K5041" t="s">
        <v>159</v>
      </c>
      <c r="L5041">
        <v>100029224</v>
      </c>
      <c r="M5041" t="s">
        <v>1018</v>
      </c>
    </row>
    <row r="5042" spans="3:13">
      <c r="C5042">
        <v>2100300025</v>
      </c>
      <c r="D5042">
        <v>6431000</v>
      </c>
      <c r="E5042" t="s">
        <v>188</v>
      </c>
      <c r="F5042">
        <v>5104040102</v>
      </c>
      <c r="G5042" s="13">
        <v>3600</v>
      </c>
      <c r="I5042" t="s">
        <v>144</v>
      </c>
      <c r="J5042" t="s">
        <v>902</v>
      </c>
      <c r="K5042" t="s">
        <v>159</v>
      </c>
      <c r="L5042">
        <v>100023112</v>
      </c>
      <c r="M5042" t="s">
        <v>1017</v>
      </c>
    </row>
    <row r="5043" spans="3:13">
      <c r="C5043">
        <v>2100300025</v>
      </c>
      <c r="D5043">
        <v>6431000</v>
      </c>
      <c r="E5043" t="s">
        <v>188</v>
      </c>
      <c r="F5043">
        <v>5104040102</v>
      </c>
      <c r="G5043" s="13">
        <v>10800</v>
      </c>
      <c r="I5043" t="s">
        <v>144</v>
      </c>
      <c r="J5043" t="s">
        <v>825</v>
      </c>
      <c r="K5043" t="s">
        <v>159</v>
      </c>
      <c r="L5043">
        <v>100028350</v>
      </c>
      <c r="M5043" t="s">
        <v>1017</v>
      </c>
    </row>
    <row r="5044" spans="3:13">
      <c r="C5044">
        <v>2100300025</v>
      </c>
      <c r="D5044">
        <v>6431000</v>
      </c>
      <c r="E5044" t="s">
        <v>188</v>
      </c>
      <c r="F5044">
        <v>5104040102</v>
      </c>
      <c r="G5044" s="13">
        <v>4500</v>
      </c>
      <c r="I5044" t="s">
        <v>144</v>
      </c>
      <c r="J5044" t="s">
        <v>831</v>
      </c>
      <c r="K5044" t="s">
        <v>159</v>
      </c>
      <c r="L5044">
        <v>100048958</v>
      </c>
      <c r="M5044" t="s">
        <v>1019</v>
      </c>
    </row>
    <row r="5045" spans="3:13">
      <c r="C5045">
        <v>2100300025</v>
      </c>
      <c r="D5045">
        <v>6431000</v>
      </c>
      <c r="E5045" t="s">
        <v>188</v>
      </c>
      <c r="F5045">
        <v>5104040102</v>
      </c>
      <c r="G5045" s="13">
        <v>18300</v>
      </c>
      <c r="I5045" t="s">
        <v>144</v>
      </c>
      <c r="J5045" t="s">
        <v>835</v>
      </c>
      <c r="K5045" t="s">
        <v>159</v>
      </c>
      <c r="L5045">
        <v>100059503</v>
      </c>
      <c r="M5045" t="s">
        <v>1017</v>
      </c>
    </row>
    <row r="5046" spans="3:13">
      <c r="C5046">
        <v>2100300025</v>
      </c>
      <c r="D5046">
        <v>6431000</v>
      </c>
      <c r="E5046" t="s">
        <v>188</v>
      </c>
      <c r="F5046">
        <v>5104040102</v>
      </c>
      <c r="G5046" s="13">
        <v>26100</v>
      </c>
      <c r="I5046" t="s">
        <v>144</v>
      </c>
      <c r="J5046" t="s">
        <v>936</v>
      </c>
      <c r="K5046" t="s">
        <v>159</v>
      </c>
      <c r="L5046">
        <v>100055926</v>
      </c>
      <c r="M5046" t="s">
        <v>1017</v>
      </c>
    </row>
    <row r="5047" spans="3:13">
      <c r="C5047">
        <v>2100300025</v>
      </c>
      <c r="D5047">
        <v>6431000</v>
      </c>
      <c r="E5047" t="s">
        <v>188</v>
      </c>
      <c r="F5047">
        <v>5104040102</v>
      </c>
      <c r="G5047" s="13">
        <v>16500</v>
      </c>
      <c r="I5047" t="s">
        <v>144</v>
      </c>
      <c r="J5047" t="s">
        <v>980</v>
      </c>
      <c r="K5047" t="s">
        <v>159</v>
      </c>
      <c r="L5047">
        <v>100100802</v>
      </c>
      <c r="M5047" t="s">
        <v>1017</v>
      </c>
    </row>
    <row r="5048" spans="3:13">
      <c r="C5048">
        <v>2100300025</v>
      </c>
      <c r="D5048">
        <v>6431000</v>
      </c>
      <c r="E5048" t="s">
        <v>188</v>
      </c>
      <c r="F5048">
        <v>5104040102</v>
      </c>
      <c r="G5048" s="13">
        <v>36000</v>
      </c>
      <c r="I5048" t="s">
        <v>144</v>
      </c>
      <c r="J5048" t="s">
        <v>867</v>
      </c>
      <c r="K5048" t="s">
        <v>159</v>
      </c>
      <c r="L5048">
        <v>100095099</v>
      </c>
      <c r="M5048" t="s">
        <v>1017</v>
      </c>
    </row>
    <row r="5049" spans="3:13">
      <c r="C5049">
        <v>2100300025</v>
      </c>
      <c r="D5049">
        <v>6431000</v>
      </c>
      <c r="E5049" t="s">
        <v>188</v>
      </c>
      <c r="F5049">
        <v>5104040102</v>
      </c>
      <c r="G5049" s="13">
        <v>13700</v>
      </c>
      <c r="I5049" t="s">
        <v>144</v>
      </c>
      <c r="J5049" t="s">
        <v>906</v>
      </c>
      <c r="K5049" t="s">
        <v>159</v>
      </c>
      <c r="L5049">
        <v>100021793</v>
      </c>
      <c r="M5049" t="s">
        <v>1018</v>
      </c>
    </row>
    <row r="5050" spans="3:13">
      <c r="C5050">
        <v>2100300025</v>
      </c>
      <c r="D5050">
        <v>6431000</v>
      </c>
      <c r="E5050" t="s">
        <v>188</v>
      </c>
      <c r="F5050">
        <v>5104030207</v>
      </c>
      <c r="G5050">
        <v>450</v>
      </c>
      <c r="I5050" t="s">
        <v>144</v>
      </c>
      <c r="J5050" t="s">
        <v>925</v>
      </c>
      <c r="K5050" t="s">
        <v>193</v>
      </c>
      <c r="L5050">
        <v>100040233</v>
      </c>
      <c r="M5050" t="s">
        <v>993</v>
      </c>
    </row>
    <row r="5051" spans="3:13">
      <c r="C5051">
        <v>2100300025</v>
      </c>
      <c r="D5051">
        <v>6431000</v>
      </c>
      <c r="E5051" t="s">
        <v>188</v>
      </c>
      <c r="F5051">
        <v>5104040102</v>
      </c>
      <c r="G5051" s="13">
        <v>111900</v>
      </c>
      <c r="I5051" t="s">
        <v>144</v>
      </c>
      <c r="J5051" t="s">
        <v>987</v>
      </c>
      <c r="K5051" t="s">
        <v>159</v>
      </c>
      <c r="L5051">
        <v>100078965</v>
      </c>
      <c r="M5051" t="s">
        <v>1017</v>
      </c>
    </row>
    <row r="5052" spans="3:13">
      <c r="C5052">
        <v>2100300025</v>
      </c>
      <c r="D5052">
        <v>6431000</v>
      </c>
      <c r="E5052" t="s">
        <v>188</v>
      </c>
      <c r="F5052">
        <v>5104030207</v>
      </c>
      <c r="G5052" s="13">
        <v>7740</v>
      </c>
      <c r="I5052" t="s">
        <v>144</v>
      </c>
      <c r="J5052" t="s">
        <v>563</v>
      </c>
      <c r="K5052" t="s">
        <v>193</v>
      </c>
      <c r="L5052">
        <v>100046286</v>
      </c>
      <c r="M5052" t="s">
        <v>993</v>
      </c>
    </row>
    <row r="5053" spans="3:13">
      <c r="C5053">
        <v>2100300025</v>
      </c>
      <c r="D5053">
        <v>6431000</v>
      </c>
      <c r="E5053" t="s">
        <v>188</v>
      </c>
      <c r="F5053">
        <v>5104040102</v>
      </c>
      <c r="G5053" s="13">
        <v>4200</v>
      </c>
      <c r="I5053" t="s">
        <v>144</v>
      </c>
      <c r="J5053" t="s">
        <v>563</v>
      </c>
      <c r="K5053" t="s">
        <v>159</v>
      </c>
      <c r="L5053">
        <v>100046285</v>
      </c>
      <c r="M5053" t="s">
        <v>1017</v>
      </c>
    </row>
    <row r="5054" spans="3:13">
      <c r="C5054">
        <v>2100300025</v>
      </c>
      <c r="D5054">
        <v>6431000</v>
      </c>
      <c r="E5054" t="s">
        <v>188</v>
      </c>
      <c r="F5054">
        <v>5104030299</v>
      </c>
      <c r="G5054" s="13">
        <v>5500</v>
      </c>
      <c r="I5054" t="s">
        <v>144</v>
      </c>
      <c r="J5054" t="s">
        <v>1005</v>
      </c>
      <c r="K5054" t="s">
        <v>93</v>
      </c>
      <c r="L5054">
        <v>100089611</v>
      </c>
      <c r="M5054" t="s">
        <v>1020</v>
      </c>
    </row>
    <row r="5055" spans="3:13">
      <c r="C5055">
        <v>2100300025</v>
      </c>
      <c r="D5055">
        <v>6431000</v>
      </c>
      <c r="E5055" t="s">
        <v>188</v>
      </c>
      <c r="F5055">
        <v>5104030299</v>
      </c>
      <c r="G5055" s="13">
        <v>4500</v>
      </c>
      <c r="I5055" t="s">
        <v>144</v>
      </c>
      <c r="J5055" t="s">
        <v>972</v>
      </c>
      <c r="K5055" t="s">
        <v>93</v>
      </c>
      <c r="L5055">
        <v>100086875</v>
      </c>
      <c r="M5055" t="s">
        <v>1020</v>
      </c>
    </row>
    <row r="5056" spans="3:13">
      <c r="C5056">
        <v>2100300025</v>
      </c>
      <c r="D5056">
        <v>6426000</v>
      </c>
      <c r="E5056" t="s">
        <v>188</v>
      </c>
      <c r="F5056">
        <v>5104040102</v>
      </c>
      <c r="G5056">
        <v>-1.48</v>
      </c>
      <c r="I5056" t="s">
        <v>144</v>
      </c>
      <c r="J5056" t="s">
        <v>864</v>
      </c>
      <c r="K5056" t="s">
        <v>159</v>
      </c>
      <c r="L5056">
        <v>100073985</v>
      </c>
    </row>
    <row r="5057" spans="3:13">
      <c r="C5057">
        <v>2100300025</v>
      </c>
      <c r="D5057">
        <v>6431000</v>
      </c>
      <c r="E5057" t="s">
        <v>188</v>
      </c>
      <c r="F5057">
        <v>5104040102</v>
      </c>
      <c r="G5057" s="13">
        <v>10500</v>
      </c>
      <c r="I5057" t="s">
        <v>144</v>
      </c>
      <c r="J5057" t="s">
        <v>822</v>
      </c>
      <c r="K5057" t="s">
        <v>159</v>
      </c>
      <c r="L5057">
        <v>100025563</v>
      </c>
      <c r="M5057" t="s">
        <v>1021</v>
      </c>
    </row>
    <row r="5058" spans="3:13">
      <c r="C5058">
        <v>2100300025</v>
      </c>
      <c r="D5058">
        <v>6431000</v>
      </c>
      <c r="E5058" t="s">
        <v>188</v>
      </c>
      <c r="F5058">
        <v>5104040102</v>
      </c>
      <c r="G5058" s="13">
        <v>3000</v>
      </c>
      <c r="I5058" t="s">
        <v>144</v>
      </c>
      <c r="J5058" t="s">
        <v>830</v>
      </c>
      <c r="K5058" t="s">
        <v>159</v>
      </c>
      <c r="L5058">
        <v>100040206</v>
      </c>
      <c r="M5058" t="s">
        <v>1017</v>
      </c>
    </row>
    <row r="5059" spans="3:13">
      <c r="C5059">
        <v>2100300025</v>
      </c>
      <c r="D5059">
        <v>6431000</v>
      </c>
      <c r="E5059" t="s">
        <v>188</v>
      </c>
      <c r="F5059">
        <v>5104040102</v>
      </c>
      <c r="G5059" s="13">
        <v>-29677.42</v>
      </c>
      <c r="I5059" t="s">
        <v>144</v>
      </c>
      <c r="J5059" t="s">
        <v>855</v>
      </c>
      <c r="K5059" t="s">
        <v>159</v>
      </c>
      <c r="L5059">
        <v>100075686</v>
      </c>
    </row>
    <row r="5060" spans="3:13">
      <c r="C5060">
        <v>2100300025</v>
      </c>
      <c r="D5060">
        <v>6431000</v>
      </c>
      <c r="E5060" t="s">
        <v>188</v>
      </c>
      <c r="F5060">
        <v>5105010109</v>
      </c>
      <c r="G5060" s="13">
        <v>-881101.19</v>
      </c>
      <c r="I5060" t="s">
        <v>144</v>
      </c>
      <c r="J5060" t="s">
        <v>837</v>
      </c>
      <c r="K5060" t="s">
        <v>165</v>
      </c>
      <c r="L5060">
        <v>100031106</v>
      </c>
      <c r="M5060" t="s">
        <v>1022</v>
      </c>
    </row>
    <row r="5061" spans="3:13">
      <c r="C5061">
        <v>2100300025</v>
      </c>
      <c r="D5061">
        <v>6431000</v>
      </c>
      <c r="E5061" t="s">
        <v>188</v>
      </c>
      <c r="F5061">
        <v>5105010113</v>
      </c>
      <c r="G5061" s="13">
        <v>-205868</v>
      </c>
      <c r="I5061" t="s">
        <v>144</v>
      </c>
      <c r="J5061" t="s">
        <v>837</v>
      </c>
      <c r="K5061" t="s">
        <v>166</v>
      </c>
      <c r="L5061">
        <v>100031106</v>
      </c>
      <c r="M5061" t="s">
        <v>1023</v>
      </c>
    </row>
    <row r="5062" spans="3:13">
      <c r="C5062">
        <v>2100300025</v>
      </c>
      <c r="D5062">
        <v>6431000</v>
      </c>
      <c r="E5062" t="s">
        <v>188</v>
      </c>
      <c r="F5062">
        <v>5203010111</v>
      </c>
      <c r="G5062" s="13">
        <v>-699138</v>
      </c>
      <c r="I5062" t="s">
        <v>144</v>
      </c>
      <c r="J5062" t="s">
        <v>564</v>
      </c>
      <c r="K5062" t="s">
        <v>186</v>
      </c>
      <c r="L5062">
        <v>100031105</v>
      </c>
      <c r="M5062" t="s">
        <v>1024</v>
      </c>
    </row>
    <row r="5063" spans="3:13">
      <c r="C5063">
        <v>2100300025</v>
      </c>
      <c r="D5063">
        <v>6431000</v>
      </c>
      <c r="E5063" t="s">
        <v>188</v>
      </c>
      <c r="F5063">
        <v>5108010107</v>
      </c>
      <c r="G5063" s="13">
        <v>-1662337.04</v>
      </c>
      <c r="I5063" t="s">
        <v>144</v>
      </c>
      <c r="J5063" t="s">
        <v>591</v>
      </c>
      <c r="K5063" t="s">
        <v>125</v>
      </c>
      <c r="L5063">
        <v>100106950</v>
      </c>
    </row>
    <row r="5064" spans="3:13">
      <c r="C5064">
        <v>2100300025</v>
      </c>
      <c r="D5064">
        <v>6431000</v>
      </c>
      <c r="E5064" t="s">
        <v>188</v>
      </c>
      <c r="F5064">
        <v>5108010107</v>
      </c>
      <c r="G5064" s="13">
        <v>1662337.04</v>
      </c>
      <c r="I5064" t="s">
        <v>144</v>
      </c>
      <c r="J5064" t="s">
        <v>591</v>
      </c>
      <c r="K5064" t="s">
        <v>125</v>
      </c>
      <c r="L5064">
        <v>100106949</v>
      </c>
      <c r="M5064" t="s">
        <v>1025</v>
      </c>
    </row>
    <row r="5065" spans="3:13">
      <c r="C5065">
        <v>2100300025</v>
      </c>
      <c r="D5065">
        <v>6431000</v>
      </c>
      <c r="E5065" t="s">
        <v>188</v>
      </c>
      <c r="F5065">
        <v>5212010199</v>
      </c>
      <c r="G5065" s="13">
        <v>-10820</v>
      </c>
      <c r="I5065" t="s">
        <v>144</v>
      </c>
      <c r="J5065" t="s">
        <v>825</v>
      </c>
      <c r="K5065" t="s">
        <v>217</v>
      </c>
      <c r="L5065">
        <v>100037011</v>
      </c>
    </row>
    <row r="5066" spans="3:13">
      <c r="C5066">
        <v>2100300025</v>
      </c>
      <c r="D5066">
        <v>6431000</v>
      </c>
      <c r="E5066" t="s">
        <v>188</v>
      </c>
      <c r="F5066">
        <v>5102010199</v>
      </c>
      <c r="G5066" s="13">
        <v>-41400</v>
      </c>
      <c r="I5066" t="s">
        <v>185</v>
      </c>
      <c r="J5066" t="s">
        <v>996</v>
      </c>
      <c r="K5066" t="s">
        <v>151</v>
      </c>
      <c r="L5066">
        <v>900000609</v>
      </c>
      <c r="M5066" t="s">
        <v>997</v>
      </c>
    </row>
    <row r="5067" spans="3:13">
      <c r="C5067">
        <v>2100300025</v>
      </c>
      <c r="D5067">
        <v>6431000</v>
      </c>
      <c r="E5067" t="s">
        <v>188</v>
      </c>
      <c r="F5067">
        <v>5102010199</v>
      </c>
      <c r="G5067" s="13">
        <v>-4300</v>
      </c>
      <c r="I5067" t="s">
        <v>185</v>
      </c>
      <c r="J5067" t="s">
        <v>869</v>
      </c>
      <c r="K5067" t="s">
        <v>151</v>
      </c>
      <c r="L5067">
        <v>900004144</v>
      </c>
      <c r="M5067" t="s">
        <v>1008</v>
      </c>
    </row>
    <row r="5068" spans="3:13">
      <c r="C5068">
        <v>2100300025</v>
      </c>
      <c r="D5068">
        <v>6426000</v>
      </c>
      <c r="E5068" t="s">
        <v>188</v>
      </c>
      <c r="F5068">
        <v>5104010104</v>
      </c>
      <c r="G5068" s="13">
        <v>514872.29</v>
      </c>
      <c r="I5068" t="s">
        <v>185</v>
      </c>
      <c r="J5068" t="s">
        <v>555</v>
      </c>
      <c r="K5068" t="s">
        <v>69</v>
      </c>
      <c r="L5068">
        <v>900001106</v>
      </c>
    </row>
    <row r="5069" spans="3:13">
      <c r="C5069">
        <v>2100300025</v>
      </c>
      <c r="D5069">
        <v>6431000</v>
      </c>
      <c r="E5069" t="s">
        <v>188</v>
      </c>
      <c r="F5069">
        <v>5108010107</v>
      </c>
      <c r="G5069" s="13">
        <v>-1662337.04</v>
      </c>
      <c r="I5069" t="s">
        <v>185</v>
      </c>
      <c r="J5069" t="s">
        <v>591</v>
      </c>
      <c r="K5069" t="s">
        <v>125</v>
      </c>
      <c r="L5069">
        <v>900005307</v>
      </c>
      <c r="M5069" t="s">
        <v>1025</v>
      </c>
    </row>
    <row r="5070" spans="3:13">
      <c r="C5070">
        <v>2100300025</v>
      </c>
      <c r="D5070">
        <v>6410210</v>
      </c>
      <c r="E5070">
        <v>90909520000000</v>
      </c>
      <c r="F5070">
        <v>5101040204</v>
      </c>
      <c r="G5070" s="13">
        <v>13691</v>
      </c>
      <c r="I5070" t="s">
        <v>1026</v>
      </c>
      <c r="J5070" t="s">
        <v>801</v>
      </c>
      <c r="K5070" t="s">
        <v>487</v>
      </c>
      <c r="L5070">
        <v>3600020911</v>
      </c>
    </row>
    <row r="5071" spans="3:13">
      <c r="C5071">
        <v>2100300025</v>
      </c>
      <c r="D5071">
        <v>6410210</v>
      </c>
      <c r="E5071">
        <v>90909520000000</v>
      </c>
      <c r="F5071">
        <v>5101030205</v>
      </c>
      <c r="G5071" s="13">
        <v>8950</v>
      </c>
      <c r="I5071" t="s">
        <v>1026</v>
      </c>
      <c r="J5071" t="s">
        <v>828</v>
      </c>
      <c r="K5071" t="s">
        <v>149</v>
      </c>
      <c r="L5071">
        <v>3600000898</v>
      </c>
    </row>
    <row r="5072" spans="3:13">
      <c r="C5072">
        <v>2100300025</v>
      </c>
      <c r="D5072">
        <v>6411150</v>
      </c>
      <c r="E5072" t="s">
        <v>792</v>
      </c>
      <c r="F5072">
        <v>5101010115</v>
      </c>
      <c r="G5072" s="13">
        <v>382160</v>
      </c>
      <c r="H5072" t="s">
        <v>793</v>
      </c>
      <c r="I5072" t="s">
        <v>1026</v>
      </c>
      <c r="J5072" t="s">
        <v>898</v>
      </c>
      <c r="K5072" t="s">
        <v>145</v>
      </c>
      <c r="L5072">
        <v>3600011387</v>
      </c>
    </row>
    <row r="5073" spans="3:14">
      <c r="C5073">
        <v>2100300025</v>
      </c>
      <c r="D5073">
        <v>6411210</v>
      </c>
      <c r="E5073" t="s">
        <v>792</v>
      </c>
      <c r="F5073">
        <v>5101010116</v>
      </c>
      <c r="G5073" s="13">
        <v>6190</v>
      </c>
      <c r="H5073" t="s">
        <v>793</v>
      </c>
      <c r="I5073" t="s">
        <v>1026</v>
      </c>
      <c r="J5073" t="s">
        <v>1027</v>
      </c>
      <c r="K5073" t="s">
        <v>214</v>
      </c>
      <c r="L5073">
        <v>3600005698</v>
      </c>
    </row>
    <row r="5074" spans="3:14">
      <c r="C5074">
        <v>2100300025</v>
      </c>
      <c r="D5074">
        <v>6411220</v>
      </c>
      <c r="E5074" t="s">
        <v>792</v>
      </c>
      <c r="F5074">
        <v>5101020106</v>
      </c>
      <c r="G5074" s="13">
        <v>5460</v>
      </c>
      <c r="H5074" t="s">
        <v>793</v>
      </c>
      <c r="I5074" t="s">
        <v>1026</v>
      </c>
      <c r="J5074" t="s">
        <v>1027</v>
      </c>
      <c r="K5074" t="s">
        <v>148</v>
      </c>
      <c r="L5074">
        <v>3600005699</v>
      </c>
    </row>
    <row r="5075" spans="3:14">
      <c r="C5075">
        <v>2100300025</v>
      </c>
      <c r="D5075">
        <v>6411150</v>
      </c>
      <c r="E5075" t="s">
        <v>792</v>
      </c>
      <c r="F5075">
        <v>5101010115</v>
      </c>
      <c r="G5075" s="13">
        <v>382160</v>
      </c>
      <c r="H5075" t="s">
        <v>793</v>
      </c>
      <c r="I5075" t="s">
        <v>1026</v>
      </c>
      <c r="J5075" t="s">
        <v>1027</v>
      </c>
      <c r="K5075" t="s">
        <v>145</v>
      </c>
      <c r="L5075">
        <v>3600007027</v>
      </c>
    </row>
    <row r="5076" spans="3:14">
      <c r="C5076">
        <v>2100300025</v>
      </c>
      <c r="D5076">
        <v>6411210</v>
      </c>
      <c r="E5076" t="s">
        <v>792</v>
      </c>
      <c r="F5076">
        <v>5101010116</v>
      </c>
      <c r="G5076" s="13">
        <v>7060</v>
      </c>
      <c r="H5076" t="s">
        <v>793</v>
      </c>
      <c r="I5076" t="s">
        <v>1026</v>
      </c>
      <c r="J5076" t="s">
        <v>898</v>
      </c>
      <c r="K5076" t="s">
        <v>214</v>
      </c>
      <c r="L5076">
        <v>3600011388</v>
      </c>
    </row>
    <row r="5077" spans="3:14">
      <c r="C5077">
        <v>2100300025</v>
      </c>
      <c r="D5077">
        <v>6411230</v>
      </c>
      <c r="E5077" t="s">
        <v>1028</v>
      </c>
      <c r="F5077">
        <v>5104010104</v>
      </c>
      <c r="G5077" s="13">
        <v>643200</v>
      </c>
      <c r="H5077" t="s">
        <v>1029</v>
      </c>
      <c r="I5077" t="s">
        <v>1030</v>
      </c>
      <c r="J5077" t="s">
        <v>860</v>
      </c>
      <c r="K5077" t="s">
        <v>69</v>
      </c>
      <c r="L5077">
        <v>9001373286</v>
      </c>
      <c r="N5077" t="s">
        <v>1031</v>
      </c>
    </row>
    <row r="5078" spans="3:14">
      <c r="C5078">
        <v>2100300025</v>
      </c>
      <c r="D5078">
        <v>6411230</v>
      </c>
      <c r="E5078" t="s">
        <v>1028</v>
      </c>
      <c r="F5078">
        <v>5104010104</v>
      </c>
      <c r="G5078" s="13">
        <v>1876694.4</v>
      </c>
      <c r="H5078" t="s">
        <v>1029</v>
      </c>
      <c r="I5078" t="s">
        <v>1030</v>
      </c>
      <c r="J5078" t="s">
        <v>857</v>
      </c>
      <c r="K5078" t="s">
        <v>69</v>
      </c>
      <c r="L5078">
        <v>9001388238</v>
      </c>
      <c r="N5078" t="s">
        <v>1032</v>
      </c>
    </row>
    <row r="5079" spans="3:14">
      <c r="C5079">
        <v>2100300025</v>
      </c>
      <c r="D5079">
        <v>6411240</v>
      </c>
      <c r="E5079" t="s">
        <v>790</v>
      </c>
      <c r="F5079">
        <v>5104020101</v>
      </c>
      <c r="G5079" s="13">
        <v>450000</v>
      </c>
      <c r="H5079" t="s">
        <v>791</v>
      </c>
      <c r="I5079" t="s">
        <v>215</v>
      </c>
      <c r="J5079" t="s">
        <v>890</v>
      </c>
      <c r="K5079" t="s">
        <v>79</v>
      </c>
      <c r="L5079">
        <v>3100005712</v>
      </c>
    </row>
    <row r="5080" spans="3:14">
      <c r="C5080">
        <v>2100300025</v>
      </c>
      <c r="D5080">
        <v>6411240</v>
      </c>
      <c r="E5080" t="s">
        <v>1028</v>
      </c>
      <c r="F5080">
        <v>5104020101</v>
      </c>
      <c r="G5080" s="13">
        <v>761494.33</v>
      </c>
      <c r="H5080" t="s">
        <v>1029</v>
      </c>
      <c r="I5080" t="s">
        <v>215</v>
      </c>
      <c r="J5080" t="s">
        <v>557</v>
      </c>
      <c r="K5080" t="s">
        <v>79</v>
      </c>
      <c r="L5080">
        <v>3100041283</v>
      </c>
    </row>
    <row r="5081" spans="3:14">
      <c r="C5081">
        <v>2100300025</v>
      </c>
      <c r="D5081">
        <v>6411240</v>
      </c>
      <c r="E5081" t="s">
        <v>736</v>
      </c>
      <c r="F5081">
        <v>5104020103</v>
      </c>
      <c r="G5081" s="13">
        <v>72880.95</v>
      </c>
      <c r="H5081" t="s">
        <v>1033</v>
      </c>
      <c r="I5081" t="s">
        <v>215</v>
      </c>
      <c r="J5081" t="s">
        <v>932</v>
      </c>
      <c r="K5081" t="s">
        <v>157</v>
      </c>
      <c r="L5081">
        <v>3100031465</v>
      </c>
    </row>
    <row r="5082" spans="3:14">
      <c r="C5082">
        <v>2100300025</v>
      </c>
      <c r="D5082">
        <v>6411240</v>
      </c>
      <c r="E5082" t="s">
        <v>736</v>
      </c>
      <c r="F5082">
        <v>5104020105</v>
      </c>
      <c r="G5082">
        <v>551.04999999999995</v>
      </c>
      <c r="H5082" t="s">
        <v>1033</v>
      </c>
      <c r="I5082" t="s">
        <v>215</v>
      </c>
      <c r="J5082" t="s">
        <v>923</v>
      </c>
      <c r="K5082" t="s">
        <v>83</v>
      </c>
      <c r="L5082">
        <v>3100028158</v>
      </c>
    </row>
    <row r="5083" spans="3:14">
      <c r="C5083">
        <v>2100300025</v>
      </c>
      <c r="D5083">
        <v>6411240</v>
      </c>
      <c r="E5083" t="s">
        <v>736</v>
      </c>
      <c r="F5083">
        <v>5104020105</v>
      </c>
      <c r="G5083" s="13">
        <v>11080.94</v>
      </c>
      <c r="H5083" t="s">
        <v>1033</v>
      </c>
      <c r="I5083" t="s">
        <v>215</v>
      </c>
      <c r="J5083" t="s">
        <v>936</v>
      </c>
      <c r="K5083" t="s">
        <v>83</v>
      </c>
      <c r="L5083">
        <v>3100033116</v>
      </c>
    </row>
    <row r="5084" spans="3:14">
      <c r="C5084">
        <v>2100300025</v>
      </c>
      <c r="D5084">
        <v>6411240</v>
      </c>
      <c r="E5084" t="s">
        <v>736</v>
      </c>
      <c r="F5084">
        <v>5104020105</v>
      </c>
      <c r="G5084">
        <v>551.04999999999995</v>
      </c>
      <c r="H5084" t="s">
        <v>1033</v>
      </c>
      <c r="I5084" t="s">
        <v>215</v>
      </c>
      <c r="J5084" t="s">
        <v>987</v>
      </c>
      <c r="K5084" t="s">
        <v>83</v>
      </c>
      <c r="L5084">
        <v>3100044359</v>
      </c>
    </row>
    <row r="5085" spans="3:14">
      <c r="C5085">
        <v>2100300025</v>
      </c>
      <c r="D5085">
        <v>6411240</v>
      </c>
      <c r="E5085" t="s">
        <v>736</v>
      </c>
      <c r="F5085">
        <v>5104020106</v>
      </c>
      <c r="G5085" s="13">
        <v>2675</v>
      </c>
      <c r="H5085" t="s">
        <v>1033</v>
      </c>
      <c r="I5085" t="s">
        <v>215</v>
      </c>
      <c r="J5085" t="s">
        <v>837</v>
      </c>
      <c r="K5085" t="s">
        <v>491</v>
      </c>
      <c r="L5085">
        <v>3100029451</v>
      </c>
    </row>
    <row r="5086" spans="3:14">
      <c r="C5086">
        <v>2100300025</v>
      </c>
      <c r="D5086">
        <v>6411240</v>
      </c>
      <c r="E5086" t="s">
        <v>736</v>
      </c>
      <c r="F5086">
        <v>5104020106</v>
      </c>
      <c r="G5086" s="13">
        <v>1284</v>
      </c>
      <c r="H5086" t="s">
        <v>1033</v>
      </c>
      <c r="I5086" t="s">
        <v>215</v>
      </c>
      <c r="J5086" t="s">
        <v>936</v>
      </c>
      <c r="K5086" t="s">
        <v>491</v>
      </c>
      <c r="L5086">
        <v>3100033040</v>
      </c>
    </row>
    <row r="5087" spans="3:14">
      <c r="C5087">
        <v>2100300025</v>
      </c>
      <c r="D5087">
        <v>6411240</v>
      </c>
      <c r="E5087" t="s">
        <v>736</v>
      </c>
      <c r="F5087">
        <v>5104020106</v>
      </c>
      <c r="G5087" s="13">
        <v>1284</v>
      </c>
      <c r="H5087" t="s">
        <v>1033</v>
      </c>
      <c r="I5087" t="s">
        <v>215</v>
      </c>
      <c r="J5087" t="s">
        <v>980</v>
      </c>
      <c r="K5087" t="s">
        <v>491</v>
      </c>
      <c r="L5087">
        <v>3100034485</v>
      </c>
    </row>
    <row r="5088" spans="3:14">
      <c r="C5088">
        <v>2100300025</v>
      </c>
      <c r="D5088">
        <v>6411240</v>
      </c>
      <c r="E5088" t="s">
        <v>736</v>
      </c>
      <c r="F5088">
        <v>5104020107</v>
      </c>
      <c r="G5088" s="13">
        <v>1760</v>
      </c>
      <c r="H5088" t="s">
        <v>1033</v>
      </c>
      <c r="I5088" t="s">
        <v>215</v>
      </c>
      <c r="J5088" t="s">
        <v>829</v>
      </c>
      <c r="K5088" t="s">
        <v>158</v>
      </c>
      <c r="L5088">
        <v>3100012287</v>
      </c>
    </row>
    <row r="5089" spans="3:12">
      <c r="C5089">
        <v>2100300025</v>
      </c>
      <c r="D5089">
        <v>6411220</v>
      </c>
      <c r="E5089" t="s">
        <v>736</v>
      </c>
      <c r="F5089">
        <v>5104010112</v>
      </c>
      <c r="G5089" s="13">
        <v>4058.8</v>
      </c>
      <c r="H5089" t="s">
        <v>1033</v>
      </c>
      <c r="I5089" t="s">
        <v>215</v>
      </c>
      <c r="J5089" t="s">
        <v>829</v>
      </c>
      <c r="K5089" t="s">
        <v>490</v>
      </c>
      <c r="L5089">
        <v>3100029043</v>
      </c>
    </row>
    <row r="5090" spans="3:12">
      <c r="C5090">
        <v>2100300025</v>
      </c>
      <c r="D5090">
        <v>6411240</v>
      </c>
      <c r="E5090" t="s">
        <v>519</v>
      </c>
      <c r="F5090">
        <v>5104020101</v>
      </c>
      <c r="G5090" s="13">
        <v>12862.21</v>
      </c>
      <c r="H5090" t="s">
        <v>520</v>
      </c>
      <c r="I5090" t="s">
        <v>215</v>
      </c>
      <c r="J5090" t="s">
        <v>880</v>
      </c>
      <c r="K5090" t="s">
        <v>79</v>
      </c>
      <c r="L5090">
        <v>3100004901</v>
      </c>
    </row>
    <row r="5091" spans="3:12">
      <c r="C5091">
        <v>2100300025</v>
      </c>
      <c r="D5091">
        <v>6411240</v>
      </c>
      <c r="E5091" t="s">
        <v>519</v>
      </c>
      <c r="F5091">
        <v>5104020103</v>
      </c>
      <c r="G5091" s="13">
        <v>70159.039999999994</v>
      </c>
      <c r="H5091" t="s">
        <v>520</v>
      </c>
      <c r="I5091" t="s">
        <v>215</v>
      </c>
      <c r="J5091" t="s">
        <v>880</v>
      </c>
      <c r="K5091" t="s">
        <v>157</v>
      </c>
      <c r="L5091">
        <v>3100004902</v>
      </c>
    </row>
    <row r="5092" spans="3:12">
      <c r="C5092">
        <v>2100300025</v>
      </c>
      <c r="D5092">
        <v>6411240</v>
      </c>
      <c r="E5092" t="s">
        <v>790</v>
      </c>
      <c r="F5092">
        <v>5104020101</v>
      </c>
      <c r="G5092" s="13">
        <v>175422.75</v>
      </c>
      <c r="H5092" t="s">
        <v>791</v>
      </c>
      <c r="I5092" t="s">
        <v>215</v>
      </c>
      <c r="J5092" t="s">
        <v>879</v>
      </c>
      <c r="K5092" t="s">
        <v>79</v>
      </c>
      <c r="L5092">
        <v>3100005105</v>
      </c>
    </row>
    <row r="5093" spans="3:12">
      <c r="C5093">
        <v>2100300025</v>
      </c>
      <c r="D5093">
        <v>6411240</v>
      </c>
      <c r="E5093" t="s">
        <v>790</v>
      </c>
      <c r="F5093">
        <v>5104020101</v>
      </c>
      <c r="G5093" s="13">
        <v>450000</v>
      </c>
      <c r="H5093" t="s">
        <v>791</v>
      </c>
      <c r="I5093" t="s">
        <v>215</v>
      </c>
      <c r="J5093" t="s">
        <v>941</v>
      </c>
      <c r="K5093" t="s">
        <v>79</v>
      </c>
      <c r="L5093">
        <v>3100032524</v>
      </c>
    </row>
    <row r="5094" spans="3:12">
      <c r="C5094">
        <v>2100300025</v>
      </c>
      <c r="D5094">
        <v>6411240</v>
      </c>
      <c r="E5094" t="s">
        <v>736</v>
      </c>
      <c r="F5094">
        <v>5104020101</v>
      </c>
      <c r="G5094" s="13">
        <v>8537.7000000000007</v>
      </c>
      <c r="H5094" t="s">
        <v>1033</v>
      </c>
      <c r="I5094" t="s">
        <v>215</v>
      </c>
      <c r="J5094" t="s">
        <v>834</v>
      </c>
      <c r="K5094" t="s">
        <v>79</v>
      </c>
      <c r="L5094">
        <v>3100032005</v>
      </c>
    </row>
    <row r="5095" spans="3:12">
      <c r="C5095">
        <v>2100300025</v>
      </c>
      <c r="D5095">
        <v>6411240</v>
      </c>
      <c r="E5095" t="s">
        <v>736</v>
      </c>
      <c r="F5095">
        <v>5104020101</v>
      </c>
      <c r="G5095" s="13">
        <v>8253.11</v>
      </c>
      <c r="H5095" t="s">
        <v>1033</v>
      </c>
      <c r="I5095" t="s">
        <v>215</v>
      </c>
      <c r="J5095" t="s">
        <v>557</v>
      </c>
      <c r="K5095" t="s">
        <v>79</v>
      </c>
      <c r="L5095">
        <v>3100043479</v>
      </c>
    </row>
    <row r="5096" spans="3:12">
      <c r="C5096">
        <v>2100300025</v>
      </c>
      <c r="D5096">
        <v>6411240</v>
      </c>
      <c r="E5096" t="s">
        <v>736</v>
      </c>
      <c r="F5096">
        <v>5104020103</v>
      </c>
      <c r="G5096" s="13">
        <v>79264.960000000006</v>
      </c>
      <c r="H5096" t="s">
        <v>1033</v>
      </c>
      <c r="I5096" t="s">
        <v>215</v>
      </c>
      <c r="J5096" t="s">
        <v>557</v>
      </c>
      <c r="K5096" t="s">
        <v>157</v>
      </c>
      <c r="L5096">
        <v>3100041284</v>
      </c>
    </row>
    <row r="5097" spans="3:12">
      <c r="C5097">
        <v>2100300025</v>
      </c>
      <c r="D5097">
        <v>6411240</v>
      </c>
      <c r="E5097" t="s">
        <v>736</v>
      </c>
      <c r="F5097">
        <v>5104020103</v>
      </c>
      <c r="G5097" s="13">
        <v>72197.960000000006</v>
      </c>
      <c r="H5097" t="s">
        <v>1033</v>
      </c>
      <c r="I5097" t="s">
        <v>215</v>
      </c>
      <c r="J5097" t="s">
        <v>557</v>
      </c>
      <c r="K5097" t="s">
        <v>157</v>
      </c>
      <c r="L5097">
        <v>3100044309</v>
      </c>
    </row>
    <row r="5098" spans="3:12">
      <c r="C5098">
        <v>2100300025</v>
      </c>
      <c r="D5098">
        <v>6411240</v>
      </c>
      <c r="E5098" t="s">
        <v>736</v>
      </c>
      <c r="F5098">
        <v>5104020105</v>
      </c>
      <c r="G5098" s="13">
        <v>9950.4699999999993</v>
      </c>
      <c r="H5098" t="s">
        <v>1033</v>
      </c>
      <c r="I5098" t="s">
        <v>215</v>
      </c>
      <c r="J5098" t="s">
        <v>829</v>
      </c>
      <c r="K5098" t="s">
        <v>83</v>
      </c>
      <c r="L5098">
        <v>3100030603</v>
      </c>
    </row>
    <row r="5099" spans="3:12">
      <c r="C5099">
        <v>2100300025</v>
      </c>
      <c r="D5099">
        <v>6411240</v>
      </c>
      <c r="E5099" t="s">
        <v>736</v>
      </c>
      <c r="F5099">
        <v>5104020106</v>
      </c>
      <c r="G5099" s="13">
        <v>1284</v>
      </c>
      <c r="H5099" t="s">
        <v>1033</v>
      </c>
      <c r="I5099" t="s">
        <v>215</v>
      </c>
      <c r="J5099" t="s">
        <v>832</v>
      </c>
      <c r="K5099" t="s">
        <v>491</v>
      </c>
      <c r="L5099">
        <v>3100028174</v>
      </c>
    </row>
    <row r="5100" spans="3:12">
      <c r="C5100">
        <v>2100300025</v>
      </c>
      <c r="D5100">
        <v>6411240</v>
      </c>
      <c r="E5100" t="s">
        <v>736</v>
      </c>
      <c r="F5100">
        <v>5104020105</v>
      </c>
      <c r="G5100" s="13">
        <v>12411.47</v>
      </c>
      <c r="H5100" t="s">
        <v>1033</v>
      </c>
      <c r="I5100" t="s">
        <v>215</v>
      </c>
      <c r="J5100" t="s">
        <v>982</v>
      </c>
      <c r="K5100" t="s">
        <v>83</v>
      </c>
      <c r="L5100">
        <v>3100044187</v>
      </c>
    </row>
    <row r="5101" spans="3:12">
      <c r="C5101">
        <v>2100300025</v>
      </c>
      <c r="D5101">
        <v>6411240</v>
      </c>
      <c r="E5101" t="s">
        <v>519</v>
      </c>
      <c r="F5101">
        <v>5104020106</v>
      </c>
      <c r="G5101" s="13">
        <v>2675</v>
      </c>
      <c r="H5101" t="s">
        <v>520</v>
      </c>
      <c r="I5101" t="s">
        <v>215</v>
      </c>
      <c r="J5101" t="s">
        <v>880</v>
      </c>
      <c r="K5101" t="s">
        <v>491</v>
      </c>
      <c r="L5101">
        <v>3100004903</v>
      </c>
    </row>
    <row r="5102" spans="3:12">
      <c r="C5102">
        <v>2100300025</v>
      </c>
      <c r="D5102">
        <v>6411240</v>
      </c>
      <c r="E5102" t="s">
        <v>519</v>
      </c>
      <c r="F5102">
        <v>5104020107</v>
      </c>
      <c r="G5102" s="13">
        <v>38881</v>
      </c>
      <c r="H5102" t="s">
        <v>520</v>
      </c>
      <c r="I5102" t="s">
        <v>215</v>
      </c>
      <c r="J5102" t="s">
        <v>880</v>
      </c>
      <c r="K5102" t="s">
        <v>158</v>
      </c>
      <c r="L5102">
        <v>3100005001</v>
      </c>
    </row>
    <row r="5103" spans="3:12">
      <c r="C5103">
        <v>2100300025</v>
      </c>
      <c r="D5103">
        <v>6411240</v>
      </c>
      <c r="E5103" t="s">
        <v>736</v>
      </c>
      <c r="F5103">
        <v>5104020107</v>
      </c>
      <c r="G5103" s="13">
        <v>37989</v>
      </c>
      <c r="H5103" t="s">
        <v>1033</v>
      </c>
      <c r="I5103" t="s">
        <v>215</v>
      </c>
      <c r="J5103" t="s">
        <v>931</v>
      </c>
      <c r="K5103" t="s">
        <v>158</v>
      </c>
      <c r="L5103">
        <v>3100033013</v>
      </c>
    </row>
    <row r="5104" spans="3:12">
      <c r="C5104">
        <v>2100300025</v>
      </c>
      <c r="D5104">
        <v>6411240</v>
      </c>
      <c r="E5104" t="s">
        <v>1028</v>
      </c>
      <c r="F5104">
        <v>5104020107</v>
      </c>
      <c r="G5104" s="13">
        <v>23247</v>
      </c>
      <c r="H5104" t="s">
        <v>1029</v>
      </c>
      <c r="I5104" t="s">
        <v>215</v>
      </c>
      <c r="J5104" t="s">
        <v>981</v>
      </c>
      <c r="K5104" t="s">
        <v>158</v>
      </c>
      <c r="L5104">
        <v>3100043635</v>
      </c>
    </row>
    <row r="5105" spans="3:14">
      <c r="C5105">
        <v>2100300025</v>
      </c>
      <c r="D5105">
        <v>6426000</v>
      </c>
      <c r="E5105" t="s">
        <v>188</v>
      </c>
      <c r="F5105">
        <v>5104010104</v>
      </c>
      <c r="G5105" s="13">
        <v>9672</v>
      </c>
      <c r="I5105" t="s">
        <v>153</v>
      </c>
      <c r="J5105" t="s">
        <v>878</v>
      </c>
      <c r="K5105" t="s">
        <v>69</v>
      </c>
      <c r="L5105">
        <v>9000023009</v>
      </c>
      <c r="N5105" t="s">
        <v>1031</v>
      </c>
    </row>
    <row r="5106" spans="3:14">
      <c r="C5106">
        <v>2100300025</v>
      </c>
      <c r="D5106">
        <v>6426000</v>
      </c>
      <c r="E5106" t="s">
        <v>188</v>
      </c>
      <c r="F5106">
        <v>5104010104</v>
      </c>
      <c r="G5106" s="13">
        <v>677563</v>
      </c>
      <c r="I5106" t="s">
        <v>153</v>
      </c>
      <c r="J5106" t="s">
        <v>883</v>
      </c>
      <c r="K5106" t="s">
        <v>69</v>
      </c>
      <c r="L5106">
        <v>9000063434</v>
      </c>
      <c r="N5106" t="s">
        <v>1031</v>
      </c>
    </row>
    <row r="5107" spans="3:14">
      <c r="C5107">
        <v>2100300025</v>
      </c>
      <c r="D5107">
        <v>6426000</v>
      </c>
      <c r="E5107" t="s">
        <v>188</v>
      </c>
      <c r="F5107">
        <v>5104010104</v>
      </c>
      <c r="G5107" s="13">
        <v>9061</v>
      </c>
      <c r="I5107" t="s">
        <v>153</v>
      </c>
      <c r="J5107" t="s">
        <v>888</v>
      </c>
      <c r="K5107" t="s">
        <v>69</v>
      </c>
      <c r="L5107">
        <v>9000097784</v>
      </c>
      <c r="N5107" t="s">
        <v>1031</v>
      </c>
    </row>
    <row r="5108" spans="3:14">
      <c r="C5108">
        <v>2100300025</v>
      </c>
      <c r="D5108">
        <v>6426000</v>
      </c>
      <c r="E5108" t="s">
        <v>188</v>
      </c>
      <c r="F5108">
        <v>5104010104</v>
      </c>
      <c r="G5108" s="13">
        <v>34000</v>
      </c>
      <c r="I5108" t="s">
        <v>153</v>
      </c>
      <c r="J5108" t="s">
        <v>871</v>
      </c>
      <c r="K5108" t="s">
        <v>69</v>
      </c>
      <c r="L5108">
        <v>9000241651</v>
      </c>
      <c r="N5108" t="s">
        <v>1031</v>
      </c>
    </row>
    <row r="5109" spans="3:14">
      <c r="C5109">
        <v>2100300025</v>
      </c>
      <c r="D5109">
        <v>6426000</v>
      </c>
      <c r="E5109" t="s">
        <v>188</v>
      </c>
      <c r="F5109">
        <v>5104010104</v>
      </c>
      <c r="G5109" s="13">
        <v>177500</v>
      </c>
      <c r="I5109" t="s">
        <v>153</v>
      </c>
      <c r="J5109" t="s">
        <v>871</v>
      </c>
      <c r="K5109" t="s">
        <v>69</v>
      </c>
      <c r="L5109">
        <v>9000241656</v>
      </c>
      <c r="N5109" t="s">
        <v>1031</v>
      </c>
    </row>
    <row r="5110" spans="3:14">
      <c r="C5110">
        <v>2100300025</v>
      </c>
      <c r="D5110">
        <v>6426000</v>
      </c>
      <c r="E5110" t="s">
        <v>188</v>
      </c>
      <c r="F5110">
        <v>5104010104</v>
      </c>
      <c r="G5110" s="13">
        <v>2635</v>
      </c>
      <c r="I5110" t="s">
        <v>153</v>
      </c>
      <c r="J5110" t="s">
        <v>899</v>
      </c>
      <c r="K5110" t="s">
        <v>69</v>
      </c>
      <c r="L5110">
        <v>9000149493</v>
      </c>
      <c r="N5110" t="s">
        <v>1031</v>
      </c>
    </row>
    <row r="5111" spans="3:14">
      <c r="C5111">
        <v>2100300025</v>
      </c>
      <c r="D5111">
        <v>6426000</v>
      </c>
      <c r="E5111" t="s">
        <v>188</v>
      </c>
      <c r="F5111">
        <v>5104010104</v>
      </c>
      <c r="G5111" s="13">
        <v>9112</v>
      </c>
      <c r="I5111" t="s">
        <v>153</v>
      </c>
      <c r="J5111" t="s">
        <v>567</v>
      </c>
      <c r="K5111" t="s">
        <v>69</v>
      </c>
      <c r="L5111">
        <v>9000347208</v>
      </c>
      <c r="N5111" t="s">
        <v>1031</v>
      </c>
    </row>
    <row r="5112" spans="3:14">
      <c r="C5112">
        <v>2100300025</v>
      </c>
      <c r="D5112">
        <v>6426000</v>
      </c>
      <c r="E5112" t="s">
        <v>188</v>
      </c>
      <c r="F5112">
        <v>5104010104</v>
      </c>
      <c r="G5112" s="13">
        <v>51000</v>
      </c>
      <c r="I5112" t="s">
        <v>153</v>
      </c>
      <c r="J5112" t="s">
        <v>916</v>
      </c>
      <c r="K5112" t="s">
        <v>69</v>
      </c>
      <c r="L5112">
        <v>9000447151</v>
      </c>
      <c r="N5112" t="s">
        <v>1031</v>
      </c>
    </row>
    <row r="5113" spans="3:14">
      <c r="C5113">
        <v>2100300025</v>
      </c>
      <c r="D5113">
        <v>6426000</v>
      </c>
      <c r="E5113" t="s">
        <v>188</v>
      </c>
      <c r="F5113">
        <v>5104010104</v>
      </c>
      <c r="G5113" s="13">
        <v>10288</v>
      </c>
      <c r="I5113" t="s">
        <v>153</v>
      </c>
      <c r="J5113" t="s">
        <v>890</v>
      </c>
      <c r="K5113" t="s">
        <v>69</v>
      </c>
      <c r="L5113">
        <v>9000089802</v>
      </c>
      <c r="N5113" t="s">
        <v>1031</v>
      </c>
    </row>
    <row r="5114" spans="3:14">
      <c r="C5114">
        <v>2100300025</v>
      </c>
      <c r="D5114">
        <v>6426000</v>
      </c>
      <c r="E5114" t="s">
        <v>188</v>
      </c>
      <c r="F5114">
        <v>5104010104</v>
      </c>
      <c r="G5114" s="13">
        <v>10900</v>
      </c>
      <c r="I5114" t="s">
        <v>153</v>
      </c>
      <c r="J5114" t="s">
        <v>871</v>
      </c>
      <c r="K5114" t="s">
        <v>69</v>
      </c>
      <c r="L5114">
        <v>9000241622</v>
      </c>
      <c r="N5114" t="s">
        <v>1031</v>
      </c>
    </row>
    <row r="5115" spans="3:14">
      <c r="C5115">
        <v>2100300025</v>
      </c>
      <c r="D5115">
        <v>6426000</v>
      </c>
      <c r="E5115" t="s">
        <v>188</v>
      </c>
      <c r="F5115">
        <v>5104010104</v>
      </c>
      <c r="G5115" s="13">
        <v>9295</v>
      </c>
      <c r="I5115" t="s">
        <v>153</v>
      </c>
      <c r="J5115" t="s">
        <v>902</v>
      </c>
      <c r="K5115" t="s">
        <v>69</v>
      </c>
      <c r="L5115">
        <v>9000272366</v>
      </c>
      <c r="N5115" t="s">
        <v>1031</v>
      </c>
    </row>
    <row r="5116" spans="3:14">
      <c r="C5116">
        <v>2100300025</v>
      </c>
      <c r="D5116">
        <v>6426000</v>
      </c>
      <c r="E5116" t="s">
        <v>188</v>
      </c>
      <c r="F5116">
        <v>5104010104</v>
      </c>
      <c r="G5116" s="13">
        <v>487656</v>
      </c>
      <c r="I5116" t="s">
        <v>153</v>
      </c>
      <c r="J5116" t="s">
        <v>905</v>
      </c>
      <c r="K5116" t="s">
        <v>69</v>
      </c>
      <c r="L5116">
        <v>9000331631</v>
      </c>
      <c r="N5116" t="s">
        <v>1031</v>
      </c>
    </row>
    <row r="5117" spans="3:14">
      <c r="C5117">
        <v>2100300025</v>
      </c>
      <c r="D5117">
        <v>6426000</v>
      </c>
      <c r="E5117" t="s">
        <v>188</v>
      </c>
      <c r="F5117">
        <v>5104010104</v>
      </c>
      <c r="G5117" s="13">
        <v>245180</v>
      </c>
      <c r="I5117" t="s">
        <v>153</v>
      </c>
      <c r="J5117" t="s">
        <v>913</v>
      </c>
      <c r="K5117" t="s">
        <v>69</v>
      </c>
      <c r="L5117">
        <v>9000385333</v>
      </c>
      <c r="N5117" t="s">
        <v>1031</v>
      </c>
    </row>
    <row r="5118" spans="3:14">
      <c r="C5118">
        <v>2100300025</v>
      </c>
      <c r="D5118">
        <v>6426000</v>
      </c>
      <c r="E5118" t="s">
        <v>188</v>
      </c>
      <c r="F5118">
        <v>5104010104</v>
      </c>
      <c r="G5118" s="13">
        <v>111000</v>
      </c>
      <c r="I5118" t="s">
        <v>153</v>
      </c>
      <c r="J5118" t="s">
        <v>799</v>
      </c>
      <c r="K5118" t="s">
        <v>69</v>
      </c>
      <c r="L5118">
        <v>9000416988</v>
      </c>
      <c r="N5118" t="s">
        <v>1031</v>
      </c>
    </row>
    <row r="5119" spans="3:14">
      <c r="C5119">
        <v>2100300025</v>
      </c>
      <c r="D5119">
        <v>6426000</v>
      </c>
      <c r="E5119" t="s">
        <v>188</v>
      </c>
      <c r="F5119">
        <v>5104010104</v>
      </c>
      <c r="G5119" s="13">
        <v>427893</v>
      </c>
      <c r="I5119" t="s">
        <v>153</v>
      </c>
      <c r="J5119" t="s">
        <v>825</v>
      </c>
      <c r="K5119" t="s">
        <v>69</v>
      </c>
      <c r="L5119">
        <v>9000507465</v>
      </c>
      <c r="N5119" t="s">
        <v>1031</v>
      </c>
    </row>
    <row r="5120" spans="3:14">
      <c r="C5120">
        <v>2100300025</v>
      </c>
      <c r="D5120">
        <v>6426000</v>
      </c>
      <c r="E5120" t="s">
        <v>188</v>
      </c>
      <c r="F5120">
        <v>5104010104</v>
      </c>
      <c r="G5120" s="13">
        <v>850000</v>
      </c>
      <c r="I5120" t="s">
        <v>153</v>
      </c>
      <c r="J5120" t="s">
        <v>906</v>
      </c>
      <c r="K5120" t="s">
        <v>69</v>
      </c>
      <c r="L5120">
        <v>9000290424</v>
      </c>
      <c r="N5120" t="s">
        <v>1031</v>
      </c>
    </row>
    <row r="5121" spans="3:14">
      <c r="C5121">
        <v>2100300025</v>
      </c>
      <c r="D5121">
        <v>6426000</v>
      </c>
      <c r="E5121" t="s">
        <v>188</v>
      </c>
      <c r="F5121">
        <v>5104010104</v>
      </c>
      <c r="G5121" s="13">
        <v>1422100</v>
      </c>
      <c r="I5121" t="s">
        <v>153</v>
      </c>
      <c r="J5121" t="s">
        <v>907</v>
      </c>
      <c r="K5121" t="s">
        <v>69</v>
      </c>
      <c r="L5121">
        <v>9000322107</v>
      </c>
      <c r="N5121" t="s">
        <v>1031</v>
      </c>
    </row>
    <row r="5122" spans="3:14">
      <c r="C5122">
        <v>2100300025</v>
      </c>
      <c r="D5122">
        <v>6426000</v>
      </c>
      <c r="E5122" t="s">
        <v>188</v>
      </c>
      <c r="F5122">
        <v>5104010104</v>
      </c>
      <c r="G5122" s="13">
        <v>5479</v>
      </c>
      <c r="I5122" t="s">
        <v>153</v>
      </c>
      <c r="J5122" t="s">
        <v>799</v>
      </c>
      <c r="K5122" t="s">
        <v>69</v>
      </c>
      <c r="L5122">
        <v>9000412898</v>
      </c>
      <c r="N5122" t="s">
        <v>1031</v>
      </c>
    </row>
    <row r="5123" spans="3:14">
      <c r="C5123">
        <v>2100300025</v>
      </c>
      <c r="D5123">
        <v>6426000</v>
      </c>
      <c r="E5123" t="s">
        <v>188</v>
      </c>
      <c r="F5123">
        <v>5104010104</v>
      </c>
      <c r="G5123" s="13">
        <v>8876</v>
      </c>
      <c r="I5123" t="s">
        <v>153</v>
      </c>
      <c r="J5123" t="s">
        <v>914</v>
      </c>
      <c r="K5123" t="s">
        <v>69</v>
      </c>
      <c r="L5123">
        <v>9000489381</v>
      </c>
      <c r="N5123" t="s">
        <v>1031</v>
      </c>
    </row>
    <row r="5124" spans="3:14">
      <c r="C5124">
        <v>2100300025</v>
      </c>
      <c r="D5124">
        <v>6426000</v>
      </c>
      <c r="E5124" t="s">
        <v>188</v>
      </c>
      <c r="F5124">
        <v>5104010104</v>
      </c>
      <c r="G5124" s="13">
        <v>5038</v>
      </c>
      <c r="I5124" t="s">
        <v>153</v>
      </c>
      <c r="J5124" t="s">
        <v>564</v>
      </c>
      <c r="K5124" t="s">
        <v>69</v>
      </c>
      <c r="L5124">
        <v>9000558393</v>
      </c>
      <c r="N5124" t="s">
        <v>1034</v>
      </c>
    </row>
    <row r="5125" spans="3:14">
      <c r="C5125">
        <v>2100300025</v>
      </c>
      <c r="D5125">
        <v>6426000</v>
      </c>
      <c r="E5125" t="s">
        <v>188</v>
      </c>
      <c r="F5125">
        <v>5104010104</v>
      </c>
      <c r="G5125" s="13">
        <v>5051</v>
      </c>
      <c r="I5125" t="s">
        <v>153</v>
      </c>
      <c r="J5125" t="s">
        <v>927</v>
      </c>
      <c r="K5125" t="s">
        <v>69</v>
      </c>
      <c r="L5125">
        <v>9000588778</v>
      </c>
      <c r="N5125" t="s">
        <v>1031</v>
      </c>
    </row>
    <row r="5126" spans="3:14">
      <c r="C5126">
        <v>2100300025</v>
      </c>
      <c r="D5126">
        <v>6426000</v>
      </c>
      <c r="E5126" t="s">
        <v>188</v>
      </c>
      <c r="F5126">
        <v>5104010104</v>
      </c>
      <c r="G5126" s="13">
        <v>12106</v>
      </c>
      <c r="I5126" t="s">
        <v>153</v>
      </c>
      <c r="J5126" t="s">
        <v>837</v>
      </c>
      <c r="K5126" t="s">
        <v>69</v>
      </c>
      <c r="L5126">
        <v>9000736815</v>
      </c>
      <c r="N5126" t="s">
        <v>1031</v>
      </c>
    </row>
    <row r="5127" spans="3:14">
      <c r="C5127">
        <v>2100300025</v>
      </c>
      <c r="D5127">
        <v>6426000</v>
      </c>
      <c r="E5127" t="s">
        <v>188</v>
      </c>
      <c r="F5127">
        <v>5104010104</v>
      </c>
      <c r="G5127" s="13">
        <v>1218000</v>
      </c>
      <c r="I5127" t="s">
        <v>153</v>
      </c>
      <c r="J5127" t="s">
        <v>933</v>
      </c>
      <c r="K5127" t="s">
        <v>69</v>
      </c>
      <c r="L5127">
        <v>9000787840</v>
      </c>
      <c r="N5127" t="s">
        <v>1031</v>
      </c>
    </row>
    <row r="5128" spans="3:14">
      <c r="C5128">
        <v>2100300025</v>
      </c>
      <c r="D5128">
        <v>6426000</v>
      </c>
      <c r="E5128" t="s">
        <v>188</v>
      </c>
      <c r="F5128">
        <v>5104010104</v>
      </c>
      <c r="G5128" s="13">
        <v>358340</v>
      </c>
      <c r="I5128" t="s">
        <v>153</v>
      </c>
      <c r="J5128" t="s">
        <v>935</v>
      </c>
      <c r="K5128" t="s">
        <v>69</v>
      </c>
      <c r="L5128">
        <v>9000828905</v>
      </c>
      <c r="N5128" t="s">
        <v>1031</v>
      </c>
    </row>
    <row r="5129" spans="3:14">
      <c r="C5129">
        <v>2100300025</v>
      </c>
      <c r="D5129">
        <v>6426000</v>
      </c>
      <c r="E5129" t="s">
        <v>188</v>
      </c>
      <c r="F5129">
        <v>5104010104</v>
      </c>
      <c r="G5129" s="13">
        <v>1224000</v>
      </c>
      <c r="I5129" t="s">
        <v>153</v>
      </c>
      <c r="J5129" t="s">
        <v>941</v>
      </c>
      <c r="K5129" t="s">
        <v>69</v>
      </c>
      <c r="L5129">
        <v>9000908535</v>
      </c>
      <c r="N5129" t="s">
        <v>1031</v>
      </c>
    </row>
    <row r="5130" spans="3:14">
      <c r="C5130">
        <v>2100300025</v>
      </c>
      <c r="D5130">
        <v>6426000</v>
      </c>
      <c r="E5130" t="s">
        <v>188</v>
      </c>
      <c r="F5130">
        <v>5104010104</v>
      </c>
      <c r="G5130" s="13">
        <v>8996</v>
      </c>
      <c r="I5130" t="s">
        <v>153</v>
      </c>
      <c r="J5130" t="s">
        <v>801</v>
      </c>
      <c r="K5130" t="s">
        <v>69</v>
      </c>
      <c r="L5130">
        <v>9000600627</v>
      </c>
      <c r="N5130" t="s">
        <v>1031</v>
      </c>
    </row>
    <row r="5131" spans="3:14">
      <c r="C5131">
        <v>2100300025</v>
      </c>
      <c r="D5131">
        <v>6426000</v>
      </c>
      <c r="E5131" t="s">
        <v>188</v>
      </c>
      <c r="F5131">
        <v>5104010104</v>
      </c>
      <c r="G5131" s="13">
        <v>8996</v>
      </c>
      <c r="I5131" t="s">
        <v>153</v>
      </c>
      <c r="J5131" t="s">
        <v>801</v>
      </c>
      <c r="K5131" t="s">
        <v>69</v>
      </c>
      <c r="L5131">
        <v>9000601079</v>
      </c>
      <c r="N5131" t="s">
        <v>1031</v>
      </c>
    </row>
    <row r="5132" spans="3:14">
      <c r="C5132">
        <v>2100300025</v>
      </c>
      <c r="D5132">
        <v>6426000</v>
      </c>
      <c r="E5132" t="s">
        <v>188</v>
      </c>
      <c r="F5132">
        <v>5104010104</v>
      </c>
      <c r="G5132" s="13">
        <v>177500</v>
      </c>
      <c r="I5132" t="s">
        <v>153</v>
      </c>
      <c r="J5132" t="s">
        <v>927</v>
      </c>
      <c r="K5132" t="s">
        <v>69</v>
      </c>
      <c r="L5132">
        <v>9000588751</v>
      </c>
      <c r="N5132" t="s">
        <v>1031</v>
      </c>
    </row>
    <row r="5133" spans="3:14">
      <c r="C5133">
        <v>2100300025</v>
      </c>
      <c r="D5133">
        <v>6426000</v>
      </c>
      <c r="E5133" t="s">
        <v>188</v>
      </c>
      <c r="F5133">
        <v>5104010104</v>
      </c>
      <c r="G5133" s="13">
        <v>425000</v>
      </c>
      <c r="I5133" t="s">
        <v>153</v>
      </c>
      <c r="J5133" t="s">
        <v>935</v>
      </c>
      <c r="K5133" t="s">
        <v>69</v>
      </c>
      <c r="L5133">
        <v>9000828816</v>
      </c>
      <c r="N5133" t="s">
        <v>1031</v>
      </c>
    </row>
    <row r="5134" spans="3:14">
      <c r="C5134">
        <v>2100300025</v>
      </c>
      <c r="D5134">
        <v>6426000</v>
      </c>
      <c r="E5134" t="s">
        <v>188</v>
      </c>
      <c r="F5134">
        <v>5104010104</v>
      </c>
      <c r="G5134" s="13">
        <v>425000</v>
      </c>
      <c r="I5134" t="s">
        <v>153</v>
      </c>
      <c r="J5134" t="s">
        <v>935</v>
      </c>
      <c r="K5134" t="s">
        <v>69</v>
      </c>
      <c r="L5134">
        <v>9000823013</v>
      </c>
      <c r="N5134" t="s">
        <v>1031</v>
      </c>
    </row>
    <row r="5135" spans="3:14">
      <c r="C5135">
        <v>2100300025</v>
      </c>
      <c r="D5135">
        <v>6426000</v>
      </c>
      <c r="E5135" t="s">
        <v>188</v>
      </c>
      <c r="F5135">
        <v>5104010104</v>
      </c>
      <c r="G5135" s="13">
        <v>13927</v>
      </c>
      <c r="I5135" t="s">
        <v>153</v>
      </c>
      <c r="J5135" t="s">
        <v>936</v>
      </c>
      <c r="K5135" t="s">
        <v>69</v>
      </c>
      <c r="L5135">
        <v>9000815180</v>
      </c>
      <c r="N5135" t="s">
        <v>1031</v>
      </c>
    </row>
    <row r="5136" spans="3:14">
      <c r="C5136">
        <v>2100300025</v>
      </c>
      <c r="D5136">
        <v>6426000</v>
      </c>
      <c r="E5136" t="s">
        <v>188</v>
      </c>
      <c r="F5136">
        <v>5104010104</v>
      </c>
      <c r="G5136" s="13">
        <v>11788</v>
      </c>
      <c r="I5136" t="s">
        <v>153</v>
      </c>
      <c r="J5136" t="s">
        <v>937</v>
      </c>
      <c r="K5136" t="s">
        <v>69</v>
      </c>
      <c r="L5136">
        <v>9000809440</v>
      </c>
      <c r="N5136" t="s">
        <v>1031</v>
      </c>
    </row>
    <row r="5137" spans="3:14">
      <c r="C5137">
        <v>2100300025</v>
      </c>
      <c r="D5137">
        <v>6426000</v>
      </c>
      <c r="E5137" t="s">
        <v>188</v>
      </c>
      <c r="F5137">
        <v>5104010104</v>
      </c>
      <c r="G5137" s="13">
        <v>4825785.5999999996</v>
      </c>
      <c r="I5137" t="s">
        <v>153</v>
      </c>
      <c r="J5137" t="s">
        <v>942</v>
      </c>
      <c r="K5137" t="s">
        <v>69</v>
      </c>
      <c r="L5137">
        <v>9000905629</v>
      </c>
      <c r="N5137" t="s">
        <v>1032</v>
      </c>
    </row>
    <row r="5138" spans="3:14">
      <c r="C5138">
        <v>2100300025</v>
      </c>
      <c r="D5138">
        <v>6426000</v>
      </c>
      <c r="E5138" t="s">
        <v>188</v>
      </c>
      <c r="F5138">
        <v>5104010104</v>
      </c>
      <c r="G5138" s="13">
        <v>5827</v>
      </c>
      <c r="I5138" t="s">
        <v>153</v>
      </c>
      <c r="J5138" t="s">
        <v>945</v>
      </c>
      <c r="K5138" t="s">
        <v>69</v>
      </c>
      <c r="L5138">
        <v>9000993306</v>
      </c>
      <c r="N5138" t="s">
        <v>1031</v>
      </c>
    </row>
    <row r="5139" spans="3:14">
      <c r="C5139">
        <v>2100300025</v>
      </c>
      <c r="D5139">
        <v>6426000</v>
      </c>
      <c r="E5139" t="s">
        <v>188</v>
      </c>
      <c r="F5139">
        <v>5104010104</v>
      </c>
      <c r="G5139" s="13">
        <v>8136</v>
      </c>
      <c r="I5139" t="s">
        <v>153</v>
      </c>
      <c r="J5139" t="s">
        <v>561</v>
      </c>
      <c r="K5139" t="s">
        <v>69</v>
      </c>
      <c r="L5139">
        <v>9000940020</v>
      </c>
      <c r="N5139" t="s">
        <v>1031</v>
      </c>
    </row>
    <row r="5140" spans="3:14">
      <c r="C5140">
        <v>2100300025</v>
      </c>
      <c r="D5140">
        <v>6426000</v>
      </c>
      <c r="E5140" t="s">
        <v>188</v>
      </c>
      <c r="F5140">
        <v>5104010104</v>
      </c>
      <c r="G5140" s="13">
        <v>702873</v>
      </c>
      <c r="I5140" t="s">
        <v>153</v>
      </c>
      <c r="J5140" t="s">
        <v>848</v>
      </c>
      <c r="K5140" t="s">
        <v>69</v>
      </c>
      <c r="L5140">
        <v>9001163122</v>
      </c>
      <c r="N5140" t="s">
        <v>1031</v>
      </c>
    </row>
    <row r="5141" spans="3:14">
      <c r="C5141">
        <v>2100300025</v>
      </c>
      <c r="D5141">
        <v>6426000</v>
      </c>
      <c r="E5141" t="s">
        <v>188</v>
      </c>
      <c r="F5141">
        <v>5104010104</v>
      </c>
      <c r="G5141" s="13">
        <v>465180</v>
      </c>
      <c r="I5141" t="s">
        <v>153</v>
      </c>
      <c r="J5141" t="s">
        <v>559</v>
      </c>
      <c r="K5141" t="s">
        <v>69</v>
      </c>
      <c r="L5141">
        <v>9001117952</v>
      </c>
      <c r="N5141" t="s">
        <v>1031</v>
      </c>
    </row>
    <row r="5142" spans="3:14">
      <c r="C5142">
        <v>2100300025</v>
      </c>
      <c r="D5142">
        <v>6426000</v>
      </c>
      <c r="E5142" t="s">
        <v>188</v>
      </c>
      <c r="F5142">
        <v>5104010104</v>
      </c>
      <c r="G5142" s="13">
        <v>332110</v>
      </c>
      <c r="I5142" t="s">
        <v>153</v>
      </c>
      <c r="J5142" t="s">
        <v>836</v>
      </c>
      <c r="K5142" t="s">
        <v>69</v>
      </c>
      <c r="L5142">
        <v>9000778226</v>
      </c>
      <c r="N5142" t="s">
        <v>1031</v>
      </c>
    </row>
    <row r="5143" spans="3:14">
      <c r="C5143">
        <v>2100300025</v>
      </c>
      <c r="D5143">
        <v>6426000</v>
      </c>
      <c r="E5143" t="s">
        <v>188</v>
      </c>
      <c r="F5143">
        <v>5104010104</v>
      </c>
      <c r="G5143" s="13">
        <v>897600</v>
      </c>
      <c r="I5143" t="s">
        <v>153</v>
      </c>
      <c r="J5143" t="s">
        <v>943</v>
      </c>
      <c r="K5143" t="s">
        <v>69</v>
      </c>
      <c r="L5143">
        <v>9000871409</v>
      </c>
      <c r="N5143" t="s">
        <v>1031</v>
      </c>
    </row>
    <row r="5144" spans="3:14">
      <c r="C5144">
        <v>2100300025</v>
      </c>
      <c r="D5144">
        <v>6426000</v>
      </c>
      <c r="E5144" t="s">
        <v>188</v>
      </c>
      <c r="F5144">
        <v>5104010104</v>
      </c>
      <c r="G5144" s="13">
        <v>2448000</v>
      </c>
      <c r="I5144" t="s">
        <v>153</v>
      </c>
      <c r="J5144" t="s">
        <v>844</v>
      </c>
      <c r="K5144" t="s">
        <v>69</v>
      </c>
      <c r="L5144">
        <v>9000978820</v>
      </c>
      <c r="N5144" t="s">
        <v>1031</v>
      </c>
    </row>
    <row r="5145" spans="3:14">
      <c r="C5145">
        <v>2100300025</v>
      </c>
      <c r="D5145">
        <v>6426000</v>
      </c>
      <c r="E5145" t="s">
        <v>188</v>
      </c>
      <c r="F5145">
        <v>5104010104</v>
      </c>
      <c r="G5145" s="13">
        <v>2680992</v>
      </c>
      <c r="I5145" t="s">
        <v>153</v>
      </c>
      <c r="J5145" t="s">
        <v>848</v>
      </c>
      <c r="K5145" t="s">
        <v>69</v>
      </c>
      <c r="L5145">
        <v>9001165828</v>
      </c>
      <c r="N5145" t="s">
        <v>1032</v>
      </c>
    </row>
    <row r="5146" spans="3:14">
      <c r="C5146">
        <v>2100300025</v>
      </c>
      <c r="D5146">
        <v>6426000</v>
      </c>
      <c r="E5146" t="s">
        <v>188</v>
      </c>
      <c r="F5146">
        <v>5104010104</v>
      </c>
      <c r="G5146" s="13">
        <v>11368</v>
      </c>
      <c r="I5146" t="s">
        <v>153</v>
      </c>
      <c r="J5146" t="s">
        <v>952</v>
      </c>
      <c r="K5146" t="s">
        <v>69</v>
      </c>
      <c r="L5146">
        <v>9001088030</v>
      </c>
      <c r="N5146" t="s">
        <v>1031</v>
      </c>
    </row>
    <row r="5147" spans="3:14">
      <c r="C5147">
        <v>2100300025</v>
      </c>
      <c r="D5147">
        <v>6426000</v>
      </c>
      <c r="E5147" t="s">
        <v>188</v>
      </c>
      <c r="F5147">
        <v>5104010104</v>
      </c>
      <c r="G5147" s="13">
        <v>203180</v>
      </c>
      <c r="I5147" t="s">
        <v>153</v>
      </c>
      <c r="J5147" t="s">
        <v>963</v>
      </c>
      <c r="K5147" t="s">
        <v>69</v>
      </c>
      <c r="L5147">
        <v>9001245213</v>
      </c>
      <c r="N5147" t="s">
        <v>1031</v>
      </c>
    </row>
    <row r="5148" spans="3:14">
      <c r="C5148">
        <v>2100300025</v>
      </c>
      <c r="D5148">
        <v>6426000</v>
      </c>
      <c r="E5148" t="s">
        <v>188</v>
      </c>
      <c r="F5148">
        <v>5104010104</v>
      </c>
      <c r="G5148" s="13">
        <v>10512</v>
      </c>
      <c r="I5148" t="s">
        <v>153</v>
      </c>
      <c r="J5148" t="s">
        <v>861</v>
      </c>
      <c r="K5148" t="s">
        <v>69</v>
      </c>
      <c r="L5148">
        <v>9001427250</v>
      </c>
      <c r="N5148" t="s">
        <v>1031</v>
      </c>
    </row>
    <row r="5149" spans="3:14">
      <c r="C5149">
        <v>2100300025</v>
      </c>
      <c r="D5149">
        <v>6426000</v>
      </c>
      <c r="E5149" t="s">
        <v>188</v>
      </c>
      <c r="F5149">
        <v>5104010104</v>
      </c>
      <c r="G5149" s="13">
        <v>9578</v>
      </c>
      <c r="I5149" t="s">
        <v>153</v>
      </c>
      <c r="J5149" t="s">
        <v>956</v>
      </c>
      <c r="K5149" t="s">
        <v>69</v>
      </c>
      <c r="L5149">
        <v>9001135498</v>
      </c>
      <c r="N5149" t="s">
        <v>1031</v>
      </c>
    </row>
    <row r="5150" spans="3:14">
      <c r="C5150">
        <v>2100300025</v>
      </c>
      <c r="D5150">
        <v>6426000</v>
      </c>
      <c r="E5150" t="s">
        <v>188</v>
      </c>
      <c r="F5150">
        <v>5104010104</v>
      </c>
      <c r="G5150" s="13">
        <v>181258</v>
      </c>
      <c r="I5150" t="s">
        <v>153</v>
      </c>
      <c r="J5150" t="s">
        <v>958</v>
      </c>
      <c r="K5150" t="s">
        <v>69</v>
      </c>
      <c r="L5150">
        <v>9001273486</v>
      </c>
      <c r="N5150" t="s">
        <v>1031</v>
      </c>
    </row>
    <row r="5151" spans="3:14">
      <c r="C5151">
        <v>2100300025</v>
      </c>
      <c r="D5151">
        <v>6426000</v>
      </c>
      <c r="E5151" t="s">
        <v>188</v>
      </c>
      <c r="F5151">
        <v>5104010104</v>
      </c>
      <c r="G5151" s="13">
        <v>10408</v>
      </c>
      <c r="I5151" t="s">
        <v>153</v>
      </c>
      <c r="J5151" t="s">
        <v>873</v>
      </c>
      <c r="K5151" t="s">
        <v>69</v>
      </c>
      <c r="L5151">
        <v>9001252314</v>
      </c>
      <c r="N5151" t="s">
        <v>1031</v>
      </c>
    </row>
    <row r="5152" spans="3:14">
      <c r="C5152">
        <v>2100300025</v>
      </c>
      <c r="D5152">
        <v>6426000</v>
      </c>
      <c r="E5152" t="s">
        <v>188</v>
      </c>
      <c r="F5152">
        <v>5104010104</v>
      </c>
      <c r="G5152" s="13">
        <v>800900</v>
      </c>
      <c r="I5152" t="s">
        <v>153</v>
      </c>
      <c r="J5152" t="s">
        <v>962</v>
      </c>
      <c r="K5152" t="s">
        <v>69</v>
      </c>
      <c r="L5152">
        <v>9001324480</v>
      </c>
      <c r="N5152" t="s">
        <v>1031</v>
      </c>
    </row>
    <row r="5153" spans="3:14">
      <c r="C5153">
        <v>2100300025</v>
      </c>
      <c r="D5153">
        <v>6426000</v>
      </c>
      <c r="E5153" t="s">
        <v>188</v>
      </c>
      <c r="F5153">
        <v>5104010104</v>
      </c>
      <c r="G5153" s="13">
        <v>9793</v>
      </c>
      <c r="I5153" t="s">
        <v>153</v>
      </c>
      <c r="J5153" t="s">
        <v>962</v>
      </c>
      <c r="K5153" t="s">
        <v>69</v>
      </c>
      <c r="L5153">
        <v>9001324561</v>
      </c>
      <c r="N5153" t="s">
        <v>1031</v>
      </c>
    </row>
    <row r="5154" spans="3:14">
      <c r="C5154">
        <v>2100300025</v>
      </c>
      <c r="D5154">
        <v>6426000</v>
      </c>
      <c r="E5154" t="s">
        <v>188</v>
      </c>
      <c r="F5154">
        <v>5104010104</v>
      </c>
      <c r="G5154" s="13">
        <v>111000</v>
      </c>
      <c r="I5154" t="s">
        <v>153</v>
      </c>
      <c r="J5154" t="s">
        <v>965</v>
      </c>
      <c r="K5154" t="s">
        <v>69</v>
      </c>
      <c r="L5154">
        <v>9001288303</v>
      </c>
      <c r="N5154" t="s">
        <v>1031</v>
      </c>
    </row>
    <row r="5155" spans="3:14">
      <c r="C5155">
        <v>2100300025</v>
      </c>
      <c r="D5155">
        <v>6426000</v>
      </c>
      <c r="E5155" t="s">
        <v>188</v>
      </c>
      <c r="F5155">
        <v>5104010104</v>
      </c>
      <c r="G5155" s="13">
        <v>135500</v>
      </c>
      <c r="I5155" t="s">
        <v>153</v>
      </c>
      <c r="J5155" t="s">
        <v>969</v>
      </c>
      <c r="K5155" t="s">
        <v>69</v>
      </c>
      <c r="L5155">
        <v>9001473544</v>
      </c>
      <c r="N5155" t="s">
        <v>1031</v>
      </c>
    </row>
    <row r="5156" spans="3:14">
      <c r="C5156">
        <v>2100300025</v>
      </c>
      <c r="D5156">
        <v>6426000</v>
      </c>
      <c r="E5156" t="s">
        <v>188</v>
      </c>
      <c r="F5156">
        <v>5104010104</v>
      </c>
      <c r="G5156" s="13">
        <v>5487</v>
      </c>
      <c r="I5156" t="s">
        <v>153</v>
      </c>
      <c r="J5156" t="s">
        <v>973</v>
      </c>
      <c r="K5156" t="s">
        <v>69</v>
      </c>
      <c r="L5156">
        <v>9001530891</v>
      </c>
      <c r="N5156" t="s">
        <v>1031</v>
      </c>
    </row>
    <row r="5157" spans="3:14">
      <c r="C5157">
        <v>2100300025</v>
      </c>
      <c r="D5157">
        <v>6426000</v>
      </c>
      <c r="E5157" t="s">
        <v>188</v>
      </c>
      <c r="F5157">
        <v>5104010104</v>
      </c>
      <c r="G5157" s="13">
        <v>11176</v>
      </c>
      <c r="I5157" t="s">
        <v>153</v>
      </c>
      <c r="J5157" t="s">
        <v>865</v>
      </c>
      <c r="K5157" t="s">
        <v>69</v>
      </c>
      <c r="L5157">
        <v>9001691016</v>
      </c>
      <c r="N5157" t="s">
        <v>1031</v>
      </c>
    </row>
    <row r="5158" spans="3:14">
      <c r="C5158">
        <v>2100300025</v>
      </c>
      <c r="D5158">
        <v>6426000</v>
      </c>
      <c r="E5158" t="s">
        <v>188</v>
      </c>
      <c r="F5158">
        <v>5104010104</v>
      </c>
      <c r="G5158" s="13">
        <v>245180</v>
      </c>
      <c r="I5158" t="s">
        <v>153</v>
      </c>
      <c r="J5158" t="s">
        <v>865</v>
      </c>
      <c r="K5158" t="s">
        <v>69</v>
      </c>
      <c r="L5158">
        <v>9001691020</v>
      </c>
      <c r="N5158" t="s">
        <v>1031</v>
      </c>
    </row>
    <row r="5159" spans="3:14">
      <c r="C5159">
        <v>2100300025</v>
      </c>
      <c r="D5159">
        <v>6426000</v>
      </c>
      <c r="E5159" t="s">
        <v>188</v>
      </c>
      <c r="F5159">
        <v>5104010104</v>
      </c>
      <c r="G5159" s="13">
        <v>11916</v>
      </c>
      <c r="I5159" t="s">
        <v>153</v>
      </c>
      <c r="J5159" t="s">
        <v>985</v>
      </c>
      <c r="K5159" t="s">
        <v>69</v>
      </c>
      <c r="L5159">
        <v>9001764990</v>
      </c>
      <c r="N5159" t="s">
        <v>1031</v>
      </c>
    </row>
    <row r="5160" spans="3:14">
      <c r="C5160">
        <v>2100300025</v>
      </c>
      <c r="D5160">
        <v>6426000</v>
      </c>
      <c r="E5160" t="s">
        <v>188</v>
      </c>
      <c r="F5160">
        <v>5104010112</v>
      </c>
      <c r="G5160" s="13">
        <v>146900</v>
      </c>
      <c r="I5160" t="s">
        <v>153</v>
      </c>
      <c r="J5160" t="s">
        <v>878</v>
      </c>
      <c r="K5160" t="s">
        <v>490</v>
      </c>
      <c r="L5160">
        <v>9000023053</v>
      </c>
      <c r="N5160" t="s">
        <v>1035</v>
      </c>
    </row>
    <row r="5161" spans="3:14">
      <c r="C5161">
        <v>2100300025</v>
      </c>
      <c r="D5161">
        <v>6426000</v>
      </c>
      <c r="E5161" t="s">
        <v>188</v>
      </c>
      <c r="F5161">
        <v>5104010112</v>
      </c>
      <c r="G5161" s="13">
        <v>230400</v>
      </c>
      <c r="I5161" t="s">
        <v>153</v>
      </c>
      <c r="J5161" t="s">
        <v>878</v>
      </c>
      <c r="K5161" t="s">
        <v>490</v>
      </c>
      <c r="L5161">
        <v>9000022987</v>
      </c>
      <c r="N5161" t="s">
        <v>1036</v>
      </c>
    </row>
    <row r="5162" spans="3:14">
      <c r="C5162">
        <v>2100300025</v>
      </c>
      <c r="D5162">
        <v>6426000</v>
      </c>
      <c r="E5162" t="s">
        <v>188</v>
      </c>
      <c r="F5162">
        <v>5104010112</v>
      </c>
      <c r="G5162" s="13">
        <v>220317</v>
      </c>
      <c r="I5162" t="s">
        <v>153</v>
      </c>
      <c r="J5162" t="s">
        <v>878</v>
      </c>
      <c r="K5162" t="s">
        <v>490</v>
      </c>
      <c r="L5162">
        <v>9000023005</v>
      </c>
      <c r="N5162" t="s">
        <v>1037</v>
      </c>
    </row>
    <row r="5163" spans="3:14">
      <c r="C5163">
        <v>2100300025</v>
      </c>
      <c r="D5163">
        <v>6426000</v>
      </c>
      <c r="E5163" t="s">
        <v>188</v>
      </c>
      <c r="F5163">
        <v>5104010112</v>
      </c>
      <c r="G5163" s="13">
        <v>100226.5</v>
      </c>
      <c r="I5163" t="s">
        <v>153</v>
      </c>
      <c r="J5163" t="s">
        <v>878</v>
      </c>
      <c r="K5163" t="s">
        <v>490</v>
      </c>
      <c r="L5163">
        <v>9000023057</v>
      </c>
      <c r="N5163" t="s">
        <v>1038</v>
      </c>
    </row>
    <row r="5164" spans="3:14">
      <c r="C5164">
        <v>2100300025</v>
      </c>
      <c r="D5164">
        <v>6426000</v>
      </c>
      <c r="E5164" t="s">
        <v>188</v>
      </c>
      <c r="F5164">
        <v>5104010112</v>
      </c>
      <c r="G5164" s="13">
        <v>100226</v>
      </c>
      <c r="I5164" t="s">
        <v>153</v>
      </c>
      <c r="J5164" t="s">
        <v>887</v>
      </c>
      <c r="K5164" t="s">
        <v>490</v>
      </c>
      <c r="L5164">
        <v>9000075048</v>
      </c>
      <c r="N5164" t="s">
        <v>1038</v>
      </c>
    </row>
    <row r="5165" spans="3:14">
      <c r="C5165">
        <v>2100300025</v>
      </c>
      <c r="D5165">
        <v>6426000</v>
      </c>
      <c r="E5165" t="s">
        <v>188</v>
      </c>
      <c r="F5165">
        <v>5104010112</v>
      </c>
      <c r="G5165" s="13">
        <v>25588</v>
      </c>
      <c r="I5165" t="s">
        <v>153</v>
      </c>
      <c r="J5165" t="s">
        <v>895</v>
      </c>
      <c r="K5165" t="s">
        <v>490</v>
      </c>
      <c r="L5165">
        <v>9000230962</v>
      </c>
      <c r="N5165" t="s">
        <v>1039</v>
      </c>
    </row>
    <row r="5166" spans="3:14">
      <c r="C5166">
        <v>2100300025</v>
      </c>
      <c r="D5166">
        <v>6426000</v>
      </c>
      <c r="E5166" t="s">
        <v>188</v>
      </c>
      <c r="F5166">
        <v>5104010112</v>
      </c>
      <c r="G5166" s="13">
        <v>63334.61</v>
      </c>
      <c r="I5166" t="s">
        <v>153</v>
      </c>
      <c r="J5166" t="s">
        <v>899</v>
      </c>
      <c r="K5166" t="s">
        <v>490</v>
      </c>
      <c r="L5166">
        <v>9000149500</v>
      </c>
      <c r="N5166" t="s">
        <v>1040</v>
      </c>
    </row>
    <row r="5167" spans="3:14">
      <c r="C5167">
        <v>2100300025</v>
      </c>
      <c r="D5167">
        <v>6426000</v>
      </c>
      <c r="E5167" t="s">
        <v>188</v>
      </c>
      <c r="F5167">
        <v>5104010112</v>
      </c>
      <c r="G5167" s="13">
        <v>17416</v>
      </c>
      <c r="I5167" t="s">
        <v>153</v>
      </c>
      <c r="J5167" t="s">
        <v>899</v>
      </c>
      <c r="K5167" t="s">
        <v>490</v>
      </c>
      <c r="L5167">
        <v>9000149554</v>
      </c>
      <c r="N5167" t="s">
        <v>1039</v>
      </c>
    </row>
    <row r="5168" spans="3:14">
      <c r="C5168">
        <v>2100300025</v>
      </c>
      <c r="D5168">
        <v>6426000</v>
      </c>
      <c r="E5168" t="s">
        <v>188</v>
      </c>
      <c r="F5168">
        <v>5104010112</v>
      </c>
      <c r="G5168" s="13">
        <v>22800</v>
      </c>
      <c r="I5168" t="s">
        <v>153</v>
      </c>
      <c r="J5168" t="s">
        <v>900</v>
      </c>
      <c r="K5168" t="s">
        <v>490</v>
      </c>
      <c r="L5168">
        <v>9000175903</v>
      </c>
      <c r="N5168" t="s">
        <v>1041</v>
      </c>
    </row>
    <row r="5169" spans="3:14">
      <c r="C5169">
        <v>2100300025</v>
      </c>
      <c r="D5169">
        <v>6426000</v>
      </c>
      <c r="E5169" t="s">
        <v>188</v>
      </c>
      <c r="F5169">
        <v>5104010112</v>
      </c>
      <c r="G5169" s="13">
        <v>227698</v>
      </c>
      <c r="I5169" t="s">
        <v>153</v>
      </c>
      <c r="J5169" t="s">
        <v>901</v>
      </c>
      <c r="K5169" t="s">
        <v>490</v>
      </c>
      <c r="L5169">
        <v>9000210222</v>
      </c>
      <c r="N5169" t="s">
        <v>1041</v>
      </c>
    </row>
    <row r="5170" spans="3:14">
      <c r="C5170">
        <v>2100300025</v>
      </c>
      <c r="D5170">
        <v>6426000</v>
      </c>
      <c r="E5170" t="s">
        <v>188</v>
      </c>
      <c r="F5170">
        <v>5104010112</v>
      </c>
      <c r="G5170" s="13">
        <v>39700</v>
      </c>
      <c r="I5170" t="s">
        <v>153</v>
      </c>
      <c r="J5170" t="s">
        <v>902</v>
      </c>
      <c r="K5170" t="s">
        <v>490</v>
      </c>
      <c r="L5170">
        <v>9000272236</v>
      </c>
      <c r="N5170" t="s">
        <v>1031</v>
      </c>
    </row>
    <row r="5171" spans="3:14">
      <c r="C5171">
        <v>2100300025</v>
      </c>
      <c r="D5171">
        <v>6426000</v>
      </c>
      <c r="E5171" t="s">
        <v>188</v>
      </c>
      <c r="F5171">
        <v>5104010112</v>
      </c>
      <c r="G5171" s="13">
        <v>32500</v>
      </c>
      <c r="I5171" t="s">
        <v>153</v>
      </c>
      <c r="J5171" t="s">
        <v>902</v>
      </c>
      <c r="K5171" t="s">
        <v>490</v>
      </c>
      <c r="L5171">
        <v>9000272336</v>
      </c>
      <c r="N5171" t="s">
        <v>1031</v>
      </c>
    </row>
    <row r="5172" spans="3:14">
      <c r="C5172">
        <v>2100300025</v>
      </c>
      <c r="D5172">
        <v>6426000</v>
      </c>
      <c r="E5172" t="s">
        <v>188</v>
      </c>
      <c r="F5172">
        <v>5104010112</v>
      </c>
      <c r="G5172" s="13">
        <v>79205.94</v>
      </c>
      <c r="I5172" t="s">
        <v>153</v>
      </c>
      <c r="J5172" t="s">
        <v>876</v>
      </c>
      <c r="K5172" t="s">
        <v>490</v>
      </c>
      <c r="L5172">
        <v>9000031694</v>
      </c>
      <c r="N5172" t="s">
        <v>1040</v>
      </c>
    </row>
    <row r="5173" spans="3:14">
      <c r="C5173">
        <v>2100300025</v>
      </c>
      <c r="D5173">
        <v>6426000</v>
      </c>
      <c r="E5173" t="s">
        <v>188</v>
      </c>
      <c r="F5173">
        <v>5104010112</v>
      </c>
      <c r="G5173" s="13">
        <v>9600</v>
      </c>
      <c r="I5173" t="s">
        <v>153</v>
      </c>
      <c r="J5173" t="s">
        <v>884</v>
      </c>
      <c r="K5173" t="s">
        <v>490</v>
      </c>
      <c r="L5173">
        <v>9000060557</v>
      </c>
      <c r="N5173" t="s">
        <v>1042</v>
      </c>
    </row>
    <row r="5174" spans="3:14">
      <c r="C5174">
        <v>2100300025</v>
      </c>
      <c r="D5174">
        <v>6426000</v>
      </c>
      <c r="E5174" t="s">
        <v>188</v>
      </c>
      <c r="F5174">
        <v>5104010112</v>
      </c>
      <c r="G5174" s="13">
        <v>220317</v>
      </c>
      <c r="I5174" t="s">
        <v>153</v>
      </c>
      <c r="J5174" t="s">
        <v>885</v>
      </c>
      <c r="K5174" t="s">
        <v>490</v>
      </c>
      <c r="L5174">
        <v>9000102616</v>
      </c>
      <c r="N5174" t="s">
        <v>1037</v>
      </c>
    </row>
    <row r="5175" spans="3:14">
      <c r="C5175">
        <v>2100300025</v>
      </c>
      <c r="D5175">
        <v>6426000</v>
      </c>
      <c r="E5175" t="s">
        <v>188</v>
      </c>
      <c r="F5175">
        <v>5104010112</v>
      </c>
      <c r="G5175" s="13">
        <v>252516</v>
      </c>
      <c r="I5175" t="s">
        <v>153</v>
      </c>
      <c r="J5175" t="s">
        <v>890</v>
      </c>
      <c r="K5175" t="s">
        <v>490</v>
      </c>
      <c r="L5175">
        <v>9000089851</v>
      </c>
      <c r="N5175" t="s">
        <v>1041</v>
      </c>
    </row>
    <row r="5176" spans="3:14">
      <c r="C5176">
        <v>2100300025</v>
      </c>
      <c r="D5176">
        <v>6426000</v>
      </c>
      <c r="E5176" t="s">
        <v>188</v>
      </c>
      <c r="F5176">
        <v>5104010112</v>
      </c>
      <c r="G5176" s="13">
        <v>64287.72</v>
      </c>
      <c r="I5176" t="s">
        <v>153</v>
      </c>
      <c r="J5176" t="s">
        <v>871</v>
      </c>
      <c r="K5176" t="s">
        <v>490</v>
      </c>
      <c r="L5176">
        <v>9000241626</v>
      </c>
      <c r="N5176" t="s">
        <v>1040</v>
      </c>
    </row>
    <row r="5177" spans="3:14">
      <c r="C5177">
        <v>2100300025</v>
      </c>
      <c r="D5177">
        <v>6426000</v>
      </c>
      <c r="E5177" t="s">
        <v>188</v>
      </c>
      <c r="F5177">
        <v>5104010112</v>
      </c>
      <c r="G5177" s="13">
        <v>100226</v>
      </c>
      <c r="I5177" t="s">
        <v>153</v>
      </c>
      <c r="J5177" t="s">
        <v>901</v>
      </c>
      <c r="K5177" t="s">
        <v>490</v>
      </c>
      <c r="L5177">
        <v>9000210345</v>
      </c>
      <c r="N5177" t="s">
        <v>1038</v>
      </c>
    </row>
    <row r="5178" spans="3:14">
      <c r="C5178">
        <v>2100300025</v>
      </c>
      <c r="D5178">
        <v>6426000</v>
      </c>
      <c r="E5178" t="s">
        <v>188</v>
      </c>
      <c r="F5178">
        <v>5104010112</v>
      </c>
      <c r="G5178" s="13">
        <v>24000</v>
      </c>
      <c r="I5178" t="s">
        <v>153</v>
      </c>
      <c r="J5178" t="s">
        <v>904</v>
      </c>
      <c r="K5178" t="s">
        <v>490</v>
      </c>
      <c r="L5178">
        <v>9000296071</v>
      </c>
      <c r="N5178" t="s">
        <v>1031</v>
      </c>
    </row>
    <row r="5179" spans="3:14">
      <c r="C5179">
        <v>2100300025</v>
      </c>
      <c r="D5179">
        <v>6426000</v>
      </c>
      <c r="E5179" t="s">
        <v>188</v>
      </c>
      <c r="F5179">
        <v>5104010112</v>
      </c>
      <c r="G5179" s="13">
        <v>228346</v>
      </c>
      <c r="I5179" t="s">
        <v>153</v>
      </c>
      <c r="J5179" t="s">
        <v>905</v>
      </c>
      <c r="K5179" t="s">
        <v>490</v>
      </c>
      <c r="L5179">
        <v>9000331487</v>
      </c>
      <c r="N5179" t="s">
        <v>1041</v>
      </c>
    </row>
    <row r="5180" spans="3:14">
      <c r="C5180">
        <v>2100300025</v>
      </c>
      <c r="D5180">
        <v>6426000</v>
      </c>
      <c r="E5180" t="s">
        <v>188</v>
      </c>
      <c r="F5180">
        <v>5104010112</v>
      </c>
      <c r="G5180" s="13">
        <v>59928.5</v>
      </c>
      <c r="I5180" t="s">
        <v>153</v>
      </c>
      <c r="J5180" t="s">
        <v>567</v>
      </c>
      <c r="K5180" t="s">
        <v>490</v>
      </c>
      <c r="L5180">
        <v>9000347292</v>
      </c>
      <c r="N5180" t="s">
        <v>1040</v>
      </c>
    </row>
    <row r="5181" spans="3:14">
      <c r="C5181">
        <v>2100300025</v>
      </c>
      <c r="D5181">
        <v>6426000</v>
      </c>
      <c r="E5181" t="s">
        <v>188</v>
      </c>
      <c r="F5181">
        <v>5104010112</v>
      </c>
      <c r="G5181" s="13">
        <v>18984</v>
      </c>
      <c r="I5181" t="s">
        <v>153</v>
      </c>
      <c r="J5181" t="s">
        <v>799</v>
      </c>
      <c r="K5181" t="s">
        <v>490</v>
      </c>
      <c r="L5181">
        <v>9000412895</v>
      </c>
      <c r="N5181" t="s">
        <v>1039</v>
      </c>
    </row>
    <row r="5182" spans="3:14">
      <c r="C5182">
        <v>2100300025</v>
      </c>
      <c r="D5182">
        <v>6426000</v>
      </c>
      <c r="E5182" t="s">
        <v>188</v>
      </c>
      <c r="F5182">
        <v>5104010112</v>
      </c>
      <c r="G5182" s="13">
        <v>94000</v>
      </c>
      <c r="I5182" t="s">
        <v>153</v>
      </c>
      <c r="J5182" t="s">
        <v>799</v>
      </c>
      <c r="K5182" t="s">
        <v>490</v>
      </c>
      <c r="L5182">
        <v>9000412994</v>
      </c>
      <c r="N5182" t="s">
        <v>1031</v>
      </c>
    </row>
    <row r="5183" spans="3:14">
      <c r="C5183">
        <v>2100300025</v>
      </c>
      <c r="D5183">
        <v>6426000</v>
      </c>
      <c r="E5183" t="s">
        <v>188</v>
      </c>
      <c r="F5183">
        <v>5104010112</v>
      </c>
      <c r="G5183" s="13">
        <v>12900</v>
      </c>
      <c r="I5183" t="s">
        <v>153</v>
      </c>
      <c r="J5183" t="s">
        <v>916</v>
      </c>
      <c r="K5183" t="s">
        <v>490</v>
      </c>
      <c r="L5183">
        <v>9000447042</v>
      </c>
      <c r="N5183" t="s">
        <v>1031</v>
      </c>
    </row>
    <row r="5184" spans="3:14">
      <c r="C5184">
        <v>2100300025</v>
      </c>
      <c r="D5184">
        <v>6426000</v>
      </c>
      <c r="E5184" t="s">
        <v>188</v>
      </c>
      <c r="F5184">
        <v>5104010112</v>
      </c>
      <c r="G5184" s="13">
        <v>84100</v>
      </c>
      <c r="I5184" t="s">
        <v>153</v>
      </c>
      <c r="J5184" t="s">
        <v>801</v>
      </c>
      <c r="K5184" t="s">
        <v>490</v>
      </c>
      <c r="L5184">
        <v>9000600683</v>
      </c>
      <c r="N5184" t="s">
        <v>1031</v>
      </c>
    </row>
    <row r="5185" spans="3:14">
      <c r="C5185">
        <v>2100300025</v>
      </c>
      <c r="D5185">
        <v>6426000</v>
      </c>
      <c r="E5185" t="s">
        <v>188</v>
      </c>
      <c r="F5185">
        <v>5104010112</v>
      </c>
      <c r="G5185" s="13">
        <v>15260</v>
      </c>
      <c r="I5185" t="s">
        <v>153</v>
      </c>
      <c r="J5185" t="s">
        <v>911</v>
      </c>
      <c r="K5185" t="s">
        <v>490</v>
      </c>
      <c r="L5185">
        <v>9000282752</v>
      </c>
      <c r="N5185" t="s">
        <v>1039</v>
      </c>
    </row>
    <row r="5186" spans="3:14">
      <c r="C5186">
        <v>2100300025</v>
      </c>
      <c r="D5186">
        <v>6426000</v>
      </c>
      <c r="E5186" t="s">
        <v>188</v>
      </c>
      <c r="F5186">
        <v>5104010112</v>
      </c>
      <c r="G5186" s="13">
        <v>225920</v>
      </c>
      <c r="I5186" t="s">
        <v>153</v>
      </c>
      <c r="J5186" t="s">
        <v>917</v>
      </c>
      <c r="K5186" t="s">
        <v>490</v>
      </c>
      <c r="L5186">
        <v>9000478920</v>
      </c>
      <c r="N5186" t="s">
        <v>1041</v>
      </c>
    </row>
    <row r="5187" spans="3:14">
      <c r="C5187">
        <v>2100300025</v>
      </c>
      <c r="D5187">
        <v>6426000</v>
      </c>
      <c r="E5187" t="s">
        <v>188</v>
      </c>
      <c r="F5187">
        <v>5104010112</v>
      </c>
      <c r="G5187" s="13">
        <v>59700.47</v>
      </c>
      <c r="I5187" t="s">
        <v>153</v>
      </c>
      <c r="J5187" t="s">
        <v>825</v>
      </c>
      <c r="K5187" t="s">
        <v>490</v>
      </c>
      <c r="L5187">
        <v>9000509795</v>
      </c>
      <c r="N5187" t="s">
        <v>1040</v>
      </c>
    </row>
    <row r="5188" spans="3:14">
      <c r="C5188">
        <v>2100300025</v>
      </c>
      <c r="D5188">
        <v>6426000</v>
      </c>
      <c r="E5188" t="s">
        <v>188</v>
      </c>
      <c r="F5188">
        <v>5104010112</v>
      </c>
      <c r="G5188" s="13">
        <v>10800</v>
      </c>
      <c r="I5188" t="s">
        <v>153</v>
      </c>
      <c r="J5188" t="s">
        <v>921</v>
      </c>
      <c r="K5188" t="s">
        <v>490</v>
      </c>
      <c r="L5188">
        <v>9000578452</v>
      </c>
      <c r="N5188" t="s">
        <v>1031</v>
      </c>
    </row>
    <row r="5189" spans="3:14">
      <c r="C5189">
        <v>2100300025</v>
      </c>
      <c r="D5189">
        <v>6426000</v>
      </c>
      <c r="E5189" t="s">
        <v>188</v>
      </c>
      <c r="F5189">
        <v>5104010112</v>
      </c>
      <c r="G5189" s="13">
        <v>27665</v>
      </c>
      <c r="I5189" t="s">
        <v>153</v>
      </c>
      <c r="J5189" t="s">
        <v>927</v>
      </c>
      <c r="K5189" t="s">
        <v>490</v>
      </c>
      <c r="L5189">
        <v>9000588759</v>
      </c>
      <c r="N5189" t="s">
        <v>1039</v>
      </c>
    </row>
    <row r="5190" spans="3:14">
      <c r="C5190">
        <v>2100300025</v>
      </c>
      <c r="D5190">
        <v>6426000</v>
      </c>
      <c r="E5190" t="s">
        <v>188</v>
      </c>
      <c r="F5190">
        <v>5104010112</v>
      </c>
      <c r="G5190" s="13">
        <v>14714</v>
      </c>
      <c r="I5190" t="s">
        <v>153</v>
      </c>
      <c r="J5190" t="s">
        <v>927</v>
      </c>
      <c r="K5190" t="s">
        <v>490</v>
      </c>
      <c r="L5190">
        <v>9000588788</v>
      </c>
      <c r="N5190" t="s">
        <v>1039</v>
      </c>
    </row>
    <row r="5191" spans="3:14">
      <c r="C5191">
        <v>2100300025</v>
      </c>
      <c r="D5191">
        <v>6426000</v>
      </c>
      <c r="E5191" t="s">
        <v>188</v>
      </c>
      <c r="F5191">
        <v>5104010112</v>
      </c>
      <c r="G5191" s="13">
        <v>21452</v>
      </c>
      <c r="I5191" t="s">
        <v>153</v>
      </c>
      <c r="J5191" t="s">
        <v>927</v>
      </c>
      <c r="K5191" t="s">
        <v>490</v>
      </c>
      <c r="L5191">
        <v>9000588838</v>
      </c>
      <c r="N5191" t="s">
        <v>1039</v>
      </c>
    </row>
    <row r="5192" spans="3:14">
      <c r="C5192">
        <v>2100300025</v>
      </c>
      <c r="D5192">
        <v>6426000</v>
      </c>
      <c r="E5192" t="s">
        <v>188</v>
      </c>
      <c r="F5192">
        <v>5104010112</v>
      </c>
      <c r="G5192" s="13">
        <v>79700</v>
      </c>
      <c r="I5192" t="s">
        <v>153</v>
      </c>
      <c r="J5192" t="s">
        <v>932</v>
      </c>
      <c r="K5192" t="s">
        <v>490</v>
      </c>
      <c r="L5192">
        <v>9000754875</v>
      </c>
      <c r="N5192" t="s">
        <v>1031</v>
      </c>
    </row>
    <row r="5193" spans="3:14">
      <c r="C5193">
        <v>2100300025</v>
      </c>
      <c r="D5193">
        <v>6426000</v>
      </c>
      <c r="E5193" t="s">
        <v>188</v>
      </c>
      <c r="F5193">
        <v>5104010112</v>
      </c>
      <c r="G5193" s="13">
        <v>18300</v>
      </c>
      <c r="I5193" t="s">
        <v>153</v>
      </c>
      <c r="J5193" t="s">
        <v>932</v>
      </c>
      <c r="K5193" t="s">
        <v>490</v>
      </c>
      <c r="L5193">
        <v>9000754901</v>
      </c>
      <c r="N5193" t="s">
        <v>1031</v>
      </c>
    </row>
    <row r="5194" spans="3:14">
      <c r="C5194">
        <v>2100300025</v>
      </c>
      <c r="D5194">
        <v>6426000</v>
      </c>
      <c r="E5194" t="s">
        <v>188</v>
      </c>
      <c r="F5194">
        <v>5104010112</v>
      </c>
      <c r="G5194" s="13">
        <v>61728.2</v>
      </c>
      <c r="I5194" t="s">
        <v>153</v>
      </c>
      <c r="J5194" t="s">
        <v>935</v>
      </c>
      <c r="K5194" t="s">
        <v>490</v>
      </c>
      <c r="L5194">
        <v>9000828811</v>
      </c>
      <c r="N5194" t="s">
        <v>1031</v>
      </c>
    </row>
    <row r="5195" spans="3:14">
      <c r="C5195">
        <v>2100300025</v>
      </c>
      <c r="D5195">
        <v>6426000</v>
      </c>
      <c r="E5195" t="s">
        <v>188</v>
      </c>
      <c r="F5195">
        <v>5104010112</v>
      </c>
      <c r="G5195" s="13">
        <v>242788</v>
      </c>
      <c r="I5195" t="s">
        <v>153</v>
      </c>
      <c r="J5195" t="s">
        <v>935</v>
      </c>
      <c r="K5195" t="s">
        <v>490</v>
      </c>
      <c r="L5195">
        <v>9000828869</v>
      </c>
      <c r="N5195" t="s">
        <v>1043</v>
      </c>
    </row>
    <row r="5196" spans="3:14">
      <c r="C5196">
        <v>2100300025</v>
      </c>
      <c r="D5196">
        <v>6426000</v>
      </c>
      <c r="E5196" t="s">
        <v>188</v>
      </c>
      <c r="F5196">
        <v>5104010112</v>
      </c>
      <c r="G5196" s="13">
        <v>134200</v>
      </c>
      <c r="I5196" t="s">
        <v>153</v>
      </c>
      <c r="J5196" t="s">
        <v>942</v>
      </c>
      <c r="K5196" t="s">
        <v>490</v>
      </c>
      <c r="L5196">
        <v>9000905627</v>
      </c>
      <c r="N5196" t="s">
        <v>1031</v>
      </c>
    </row>
    <row r="5197" spans="3:14">
      <c r="C5197">
        <v>2100300025</v>
      </c>
      <c r="D5197">
        <v>6426000</v>
      </c>
      <c r="E5197" t="s">
        <v>188</v>
      </c>
      <c r="F5197">
        <v>5104010112</v>
      </c>
      <c r="G5197" s="13">
        <v>49549.2</v>
      </c>
      <c r="I5197" t="s">
        <v>153</v>
      </c>
      <c r="J5197" t="s">
        <v>841</v>
      </c>
      <c r="K5197" t="s">
        <v>490</v>
      </c>
      <c r="L5197">
        <v>9000963324</v>
      </c>
      <c r="N5197" t="s">
        <v>1031</v>
      </c>
    </row>
    <row r="5198" spans="3:14">
      <c r="C5198">
        <v>2100300025</v>
      </c>
      <c r="D5198">
        <v>6426000</v>
      </c>
      <c r="E5198" t="s">
        <v>188</v>
      </c>
      <c r="F5198">
        <v>5104010112</v>
      </c>
      <c r="G5198" s="13">
        <v>12670</v>
      </c>
      <c r="I5198" t="s">
        <v>153</v>
      </c>
      <c r="J5198" t="s">
        <v>945</v>
      </c>
      <c r="K5198" t="s">
        <v>490</v>
      </c>
      <c r="L5198">
        <v>9000993301</v>
      </c>
      <c r="N5198" t="s">
        <v>1039</v>
      </c>
    </row>
    <row r="5199" spans="3:14">
      <c r="C5199">
        <v>2100300025</v>
      </c>
      <c r="D5199">
        <v>6426000</v>
      </c>
      <c r="E5199" t="s">
        <v>188</v>
      </c>
      <c r="F5199">
        <v>5104010112</v>
      </c>
      <c r="G5199" s="13">
        <v>171000</v>
      </c>
      <c r="I5199" t="s">
        <v>153</v>
      </c>
      <c r="J5199" t="s">
        <v>945</v>
      </c>
      <c r="K5199" t="s">
        <v>490</v>
      </c>
      <c r="L5199">
        <v>9000993347</v>
      </c>
      <c r="N5199" t="s">
        <v>1031</v>
      </c>
    </row>
    <row r="5200" spans="3:14">
      <c r="C5200">
        <v>2100300025</v>
      </c>
      <c r="D5200">
        <v>6426000</v>
      </c>
      <c r="E5200" t="s">
        <v>188</v>
      </c>
      <c r="F5200">
        <v>5104010112</v>
      </c>
      <c r="G5200" s="13">
        <v>22145</v>
      </c>
      <c r="I5200" t="s">
        <v>153</v>
      </c>
      <c r="J5200" t="s">
        <v>961</v>
      </c>
      <c r="K5200" t="s">
        <v>490</v>
      </c>
      <c r="L5200">
        <v>9001192498</v>
      </c>
      <c r="N5200" t="s">
        <v>1039</v>
      </c>
    </row>
    <row r="5201" spans="3:14">
      <c r="C5201">
        <v>2100300025</v>
      </c>
      <c r="D5201">
        <v>6426000</v>
      </c>
      <c r="E5201" t="s">
        <v>188</v>
      </c>
      <c r="F5201">
        <v>5104010112</v>
      </c>
      <c r="G5201" s="13">
        <v>199999</v>
      </c>
      <c r="I5201" t="s">
        <v>153</v>
      </c>
      <c r="J5201" t="s">
        <v>922</v>
      </c>
      <c r="K5201" t="s">
        <v>490</v>
      </c>
      <c r="L5201">
        <v>9000613858</v>
      </c>
      <c r="N5201" t="s">
        <v>1031</v>
      </c>
    </row>
    <row r="5202" spans="3:14">
      <c r="C5202">
        <v>2100300025</v>
      </c>
      <c r="D5202">
        <v>6426000</v>
      </c>
      <c r="E5202" t="s">
        <v>188</v>
      </c>
      <c r="F5202">
        <v>5104010112</v>
      </c>
      <c r="G5202" s="13">
        <v>56082.12</v>
      </c>
      <c r="I5202" t="s">
        <v>153</v>
      </c>
      <c r="J5202" t="s">
        <v>926</v>
      </c>
      <c r="K5202" t="s">
        <v>490</v>
      </c>
      <c r="L5202">
        <v>9000694236</v>
      </c>
      <c r="N5202" t="s">
        <v>1031</v>
      </c>
    </row>
    <row r="5203" spans="3:14">
      <c r="C5203">
        <v>2100300025</v>
      </c>
      <c r="D5203">
        <v>6426000</v>
      </c>
      <c r="E5203" t="s">
        <v>188</v>
      </c>
      <c r="F5203">
        <v>5104010112</v>
      </c>
      <c r="G5203" s="13">
        <v>65000</v>
      </c>
      <c r="I5203" t="s">
        <v>153</v>
      </c>
      <c r="J5203" t="s">
        <v>564</v>
      </c>
      <c r="K5203" t="s">
        <v>490</v>
      </c>
      <c r="L5203">
        <v>9000554770</v>
      </c>
      <c r="N5203" t="s">
        <v>1031</v>
      </c>
    </row>
    <row r="5204" spans="3:14">
      <c r="C5204">
        <v>2100300025</v>
      </c>
      <c r="D5204">
        <v>6426000</v>
      </c>
      <c r="E5204" t="s">
        <v>188</v>
      </c>
      <c r="F5204">
        <v>5104010112</v>
      </c>
      <c r="G5204" s="13">
        <v>23590</v>
      </c>
      <c r="I5204" t="s">
        <v>153</v>
      </c>
      <c r="J5204" t="s">
        <v>929</v>
      </c>
      <c r="K5204" t="s">
        <v>490</v>
      </c>
      <c r="L5204">
        <v>9000675387</v>
      </c>
      <c r="N5204" t="s">
        <v>1039</v>
      </c>
    </row>
    <row r="5205" spans="3:14">
      <c r="C5205">
        <v>2100300025</v>
      </c>
      <c r="D5205">
        <v>6426000</v>
      </c>
      <c r="E5205" t="s">
        <v>188</v>
      </c>
      <c r="F5205">
        <v>5104010112</v>
      </c>
      <c r="G5205" s="13">
        <v>204397</v>
      </c>
      <c r="I5205" t="s">
        <v>153</v>
      </c>
      <c r="J5205" t="s">
        <v>929</v>
      </c>
      <c r="K5205" t="s">
        <v>490</v>
      </c>
      <c r="L5205">
        <v>9000675462</v>
      </c>
      <c r="N5205" t="s">
        <v>1039</v>
      </c>
    </row>
    <row r="5206" spans="3:14">
      <c r="C5206">
        <v>2100300025</v>
      </c>
      <c r="D5206">
        <v>6426000</v>
      </c>
      <c r="E5206" t="s">
        <v>188</v>
      </c>
      <c r="F5206">
        <v>5104010112</v>
      </c>
      <c r="G5206" s="13">
        <v>16576</v>
      </c>
      <c r="I5206" t="s">
        <v>153</v>
      </c>
      <c r="J5206" t="s">
        <v>929</v>
      </c>
      <c r="K5206" t="s">
        <v>490</v>
      </c>
      <c r="L5206">
        <v>9000675467</v>
      </c>
      <c r="N5206" t="s">
        <v>1039</v>
      </c>
    </row>
    <row r="5207" spans="3:14">
      <c r="C5207">
        <v>2100300025</v>
      </c>
      <c r="D5207">
        <v>6426000</v>
      </c>
      <c r="E5207" t="s">
        <v>188</v>
      </c>
      <c r="F5207">
        <v>5104010112</v>
      </c>
      <c r="G5207" s="13">
        <v>22708</v>
      </c>
      <c r="I5207" t="s">
        <v>153</v>
      </c>
      <c r="J5207" t="s">
        <v>936</v>
      </c>
      <c r="K5207" t="s">
        <v>490</v>
      </c>
      <c r="L5207">
        <v>9000815177</v>
      </c>
      <c r="N5207" t="s">
        <v>1039</v>
      </c>
    </row>
    <row r="5208" spans="3:14">
      <c r="C5208">
        <v>2100300025</v>
      </c>
      <c r="D5208">
        <v>6426000</v>
      </c>
      <c r="E5208" t="s">
        <v>188</v>
      </c>
      <c r="F5208">
        <v>5104010112</v>
      </c>
      <c r="G5208" s="13">
        <v>18296</v>
      </c>
      <c r="I5208" t="s">
        <v>153</v>
      </c>
      <c r="J5208" t="s">
        <v>937</v>
      </c>
      <c r="K5208" t="s">
        <v>490</v>
      </c>
      <c r="L5208">
        <v>9000808005</v>
      </c>
      <c r="N5208" t="s">
        <v>1039</v>
      </c>
    </row>
    <row r="5209" spans="3:14">
      <c r="C5209">
        <v>2100300025</v>
      </c>
      <c r="D5209">
        <v>6426000</v>
      </c>
      <c r="E5209" t="s">
        <v>188</v>
      </c>
      <c r="F5209">
        <v>5104010112</v>
      </c>
      <c r="G5209" s="13">
        <v>203673</v>
      </c>
      <c r="I5209" t="s">
        <v>153</v>
      </c>
      <c r="J5209" t="s">
        <v>946</v>
      </c>
      <c r="K5209" t="s">
        <v>490</v>
      </c>
      <c r="L5209">
        <v>9001115884</v>
      </c>
      <c r="N5209" t="s">
        <v>1043</v>
      </c>
    </row>
    <row r="5210" spans="3:14">
      <c r="C5210">
        <v>2100300025</v>
      </c>
      <c r="D5210">
        <v>6426000</v>
      </c>
      <c r="E5210" t="s">
        <v>188</v>
      </c>
      <c r="F5210">
        <v>5104010112</v>
      </c>
      <c r="G5210" s="13">
        <v>190035</v>
      </c>
      <c r="I5210" t="s">
        <v>153</v>
      </c>
      <c r="J5210" t="s">
        <v>962</v>
      </c>
      <c r="K5210" t="s">
        <v>490</v>
      </c>
      <c r="L5210">
        <v>9001324498</v>
      </c>
      <c r="N5210" t="s">
        <v>1043</v>
      </c>
    </row>
    <row r="5211" spans="3:14">
      <c r="C5211">
        <v>2100300025</v>
      </c>
      <c r="D5211">
        <v>6426000</v>
      </c>
      <c r="E5211" t="s">
        <v>188</v>
      </c>
      <c r="F5211">
        <v>5104010112</v>
      </c>
      <c r="G5211" s="13">
        <v>12376</v>
      </c>
      <c r="I5211" t="s">
        <v>153</v>
      </c>
      <c r="J5211" t="s">
        <v>956</v>
      </c>
      <c r="K5211" t="s">
        <v>490</v>
      </c>
      <c r="L5211">
        <v>9001135501</v>
      </c>
      <c r="N5211" t="s">
        <v>1039</v>
      </c>
    </row>
    <row r="5212" spans="3:14">
      <c r="C5212">
        <v>2100300025</v>
      </c>
      <c r="D5212">
        <v>6426000</v>
      </c>
      <c r="E5212" t="s">
        <v>188</v>
      </c>
      <c r="F5212">
        <v>5104010112</v>
      </c>
      <c r="G5212" s="13">
        <v>139597</v>
      </c>
      <c r="I5212" t="s">
        <v>153</v>
      </c>
      <c r="J5212" t="s">
        <v>561</v>
      </c>
      <c r="K5212" t="s">
        <v>490</v>
      </c>
      <c r="L5212">
        <v>9000940155</v>
      </c>
      <c r="N5212" t="s">
        <v>1043</v>
      </c>
    </row>
    <row r="5213" spans="3:14">
      <c r="C5213">
        <v>2100300025</v>
      </c>
      <c r="D5213">
        <v>6426000</v>
      </c>
      <c r="E5213" t="s">
        <v>188</v>
      </c>
      <c r="F5213">
        <v>5104010112</v>
      </c>
      <c r="G5213" s="13">
        <v>28135</v>
      </c>
      <c r="I5213" t="s">
        <v>153</v>
      </c>
      <c r="J5213" t="s">
        <v>561</v>
      </c>
      <c r="K5213" t="s">
        <v>490</v>
      </c>
      <c r="L5213">
        <v>9000940184</v>
      </c>
      <c r="N5213" t="s">
        <v>1039</v>
      </c>
    </row>
    <row r="5214" spans="3:14">
      <c r="C5214">
        <v>2100300025</v>
      </c>
      <c r="D5214">
        <v>6426000</v>
      </c>
      <c r="E5214" t="s">
        <v>188</v>
      </c>
      <c r="F5214">
        <v>5104010112</v>
      </c>
      <c r="G5214" s="13">
        <v>17663</v>
      </c>
      <c r="I5214" t="s">
        <v>153</v>
      </c>
      <c r="J5214" t="s">
        <v>952</v>
      </c>
      <c r="K5214" t="s">
        <v>490</v>
      </c>
      <c r="L5214">
        <v>9001090148</v>
      </c>
      <c r="N5214" t="s">
        <v>1039</v>
      </c>
    </row>
    <row r="5215" spans="3:14">
      <c r="C5215">
        <v>2100300025</v>
      </c>
      <c r="D5215">
        <v>6426000</v>
      </c>
      <c r="E5215" t="s">
        <v>188</v>
      </c>
      <c r="F5215">
        <v>5104010112</v>
      </c>
      <c r="G5215" s="13">
        <v>59329.64</v>
      </c>
      <c r="I5215" t="s">
        <v>153</v>
      </c>
      <c r="J5215" t="s">
        <v>848</v>
      </c>
      <c r="K5215" t="s">
        <v>490</v>
      </c>
      <c r="L5215">
        <v>9001163066</v>
      </c>
      <c r="N5215" t="s">
        <v>1031</v>
      </c>
    </row>
    <row r="5216" spans="3:14">
      <c r="C5216">
        <v>2100300025</v>
      </c>
      <c r="D5216">
        <v>6426000</v>
      </c>
      <c r="E5216" t="s">
        <v>188</v>
      </c>
      <c r="F5216">
        <v>5104010112</v>
      </c>
      <c r="G5216" s="13">
        <v>62954.31</v>
      </c>
      <c r="I5216" t="s">
        <v>153</v>
      </c>
      <c r="J5216" t="s">
        <v>962</v>
      </c>
      <c r="K5216" t="s">
        <v>490</v>
      </c>
      <c r="L5216">
        <v>9001327369</v>
      </c>
      <c r="N5216" t="s">
        <v>1031</v>
      </c>
    </row>
    <row r="5217" spans="3:14">
      <c r="C5217">
        <v>2100300025</v>
      </c>
      <c r="D5217">
        <v>6426000</v>
      </c>
      <c r="E5217" t="s">
        <v>188</v>
      </c>
      <c r="F5217">
        <v>5104010112</v>
      </c>
      <c r="G5217" s="13">
        <v>109800</v>
      </c>
      <c r="I5217" t="s">
        <v>153</v>
      </c>
      <c r="J5217" t="s">
        <v>855</v>
      </c>
      <c r="K5217" t="s">
        <v>490</v>
      </c>
      <c r="L5217">
        <v>9001223620</v>
      </c>
      <c r="N5217" t="s">
        <v>1031</v>
      </c>
    </row>
    <row r="5218" spans="3:14">
      <c r="C5218">
        <v>2100300025</v>
      </c>
      <c r="D5218">
        <v>6426000</v>
      </c>
      <c r="E5218" t="s">
        <v>188</v>
      </c>
      <c r="F5218">
        <v>5104010112</v>
      </c>
      <c r="G5218" s="13">
        <v>18550</v>
      </c>
      <c r="I5218" t="s">
        <v>153</v>
      </c>
      <c r="J5218" t="s">
        <v>857</v>
      </c>
      <c r="K5218" t="s">
        <v>490</v>
      </c>
      <c r="L5218">
        <v>9001388205</v>
      </c>
      <c r="N5218" t="s">
        <v>1039</v>
      </c>
    </row>
    <row r="5219" spans="3:14">
      <c r="C5219">
        <v>2100300025</v>
      </c>
      <c r="D5219">
        <v>6426000</v>
      </c>
      <c r="E5219" t="s">
        <v>188</v>
      </c>
      <c r="F5219">
        <v>5104010112</v>
      </c>
      <c r="G5219" s="13">
        <v>194427</v>
      </c>
      <c r="I5219" t="s">
        <v>153</v>
      </c>
      <c r="J5219" t="s">
        <v>970</v>
      </c>
      <c r="K5219" t="s">
        <v>490</v>
      </c>
      <c r="L5219">
        <v>9001462438</v>
      </c>
      <c r="N5219" t="s">
        <v>1043</v>
      </c>
    </row>
    <row r="5220" spans="3:14">
      <c r="C5220">
        <v>2100300025</v>
      </c>
      <c r="D5220">
        <v>6426000</v>
      </c>
      <c r="E5220" t="s">
        <v>188</v>
      </c>
      <c r="F5220">
        <v>5104010112</v>
      </c>
      <c r="G5220" s="13">
        <v>62763.37</v>
      </c>
      <c r="I5220" t="s">
        <v>153</v>
      </c>
      <c r="J5220" t="s">
        <v>973</v>
      </c>
      <c r="K5220" t="s">
        <v>490</v>
      </c>
      <c r="L5220">
        <v>9001530894</v>
      </c>
      <c r="N5220" t="s">
        <v>1031</v>
      </c>
    </row>
    <row r="5221" spans="3:14">
      <c r="C5221">
        <v>2100300025</v>
      </c>
      <c r="D5221">
        <v>6426000</v>
      </c>
      <c r="E5221" t="s">
        <v>188</v>
      </c>
      <c r="F5221">
        <v>5104010112</v>
      </c>
      <c r="G5221" s="13">
        <v>124600</v>
      </c>
      <c r="I5221" t="s">
        <v>153</v>
      </c>
      <c r="J5221" t="s">
        <v>860</v>
      </c>
      <c r="K5221" t="s">
        <v>490</v>
      </c>
      <c r="L5221">
        <v>9001369769</v>
      </c>
      <c r="N5221" t="s">
        <v>1031</v>
      </c>
    </row>
    <row r="5222" spans="3:14">
      <c r="C5222">
        <v>2100300025</v>
      </c>
      <c r="D5222">
        <v>6426000</v>
      </c>
      <c r="E5222" t="s">
        <v>188</v>
      </c>
      <c r="F5222">
        <v>5104010112</v>
      </c>
      <c r="G5222" s="13">
        <v>65625.86</v>
      </c>
      <c r="I5222" t="s">
        <v>153</v>
      </c>
      <c r="J5222" t="s">
        <v>980</v>
      </c>
      <c r="K5222" t="s">
        <v>490</v>
      </c>
      <c r="L5222">
        <v>9001737264</v>
      </c>
      <c r="N5222" t="s">
        <v>1031</v>
      </c>
    </row>
    <row r="5223" spans="3:14">
      <c r="C5223">
        <v>2100300025</v>
      </c>
      <c r="D5223">
        <v>6426000</v>
      </c>
      <c r="E5223" t="s">
        <v>188</v>
      </c>
      <c r="F5223">
        <v>5104010112</v>
      </c>
      <c r="G5223" s="13">
        <v>135600</v>
      </c>
      <c r="I5223" t="s">
        <v>153</v>
      </c>
      <c r="J5223" t="s">
        <v>979</v>
      </c>
      <c r="K5223" t="s">
        <v>490</v>
      </c>
      <c r="L5223">
        <v>9001659995</v>
      </c>
      <c r="N5223" t="s">
        <v>1031</v>
      </c>
    </row>
    <row r="5224" spans="3:14">
      <c r="C5224">
        <v>2100300025</v>
      </c>
      <c r="D5224">
        <v>6426000</v>
      </c>
      <c r="E5224" t="s">
        <v>188</v>
      </c>
      <c r="F5224">
        <v>5104010112</v>
      </c>
      <c r="G5224" s="13">
        <v>26992</v>
      </c>
      <c r="I5224" t="s">
        <v>153</v>
      </c>
      <c r="J5224" t="s">
        <v>978</v>
      </c>
      <c r="K5224" t="s">
        <v>490</v>
      </c>
      <c r="L5224">
        <v>9001820637</v>
      </c>
      <c r="N5224" t="s">
        <v>1039</v>
      </c>
    </row>
    <row r="5225" spans="3:14">
      <c r="C5225">
        <v>2100300025</v>
      </c>
      <c r="D5225">
        <v>6426000</v>
      </c>
      <c r="E5225" t="s">
        <v>188</v>
      </c>
      <c r="F5225">
        <v>5104010112</v>
      </c>
      <c r="G5225" s="13">
        <v>34890</v>
      </c>
      <c r="I5225" t="s">
        <v>153</v>
      </c>
      <c r="J5225" t="s">
        <v>981</v>
      </c>
      <c r="K5225" t="s">
        <v>490</v>
      </c>
      <c r="L5225">
        <v>9001644596</v>
      </c>
      <c r="N5225" t="s">
        <v>1039</v>
      </c>
    </row>
    <row r="5226" spans="3:14">
      <c r="C5226">
        <v>2100300025</v>
      </c>
      <c r="D5226">
        <v>6426000</v>
      </c>
      <c r="E5226" t="s">
        <v>188</v>
      </c>
      <c r="F5226">
        <v>5104010112</v>
      </c>
      <c r="G5226" s="13">
        <v>191448</v>
      </c>
      <c r="I5226" t="s">
        <v>153</v>
      </c>
      <c r="J5226" t="s">
        <v>985</v>
      </c>
      <c r="K5226" t="s">
        <v>490</v>
      </c>
      <c r="L5226">
        <v>9001764953</v>
      </c>
      <c r="N5226" t="s">
        <v>1043</v>
      </c>
    </row>
    <row r="5227" spans="3:14">
      <c r="C5227">
        <v>2100300025</v>
      </c>
      <c r="D5227">
        <v>6426000</v>
      </c>
      <c r="E5227" t="s">
        <v>188</v>
      </c>
      <c r="F5227">
        <v>5104010112</v>
      </c>
      <c r="G5227" s="13">
        <v>118200</v>
      </c>
      <c r="I5227" t="s">
        <v>153</v>
      </c>
      <c r="J5227" t="s">
        <v>986</v>
      </c>
      <c r="K5227" t="s">
        <v>490</v>
      </c>
      <c r="L5227">
        <v>9001847720</v>
      </c>
      <c r="N5227" t="s">
        <v>1031</v>
      </c>
    </row>
    <row r="5228" spans="3:14">
      <c r="C5228">
        <v>2100300025</v>
      </c>
      <c r="D5228">
        <v>6426000</v>
      </c>
      <c r="E5228" t="s">
        <v>188</v>
      </c>
      <c r="F5228">
        <v>5104030212</v>
      </c>
      <c r="G5228" s="13">
        <v>32500</v>
      </c>
      <c r="I5228" t="s">
        <v>153</v>
      </c>
      <c r="J5228" t="s">
        <v>926</v>
      </c>
      <c r="K5228" t="s">
        <v>1044</v>
      </c>
      <c r="L5228">
        <v>9000694203</v>
      </c>
      <c r="N5228" t="s">
        <v>1031</v>
      </c>
    </row>
    <row r="5229" spans="3:14">
      <c r="C5229">
        <v>2100300025</v>
      </c>
      <c r="D5229">
        <v>6426000</v>
      </c>
      <c r="E5229" t="s">
        <v>188</v>
      </c>
      <c r="F5229">
        <v>5104030212</v>
      </c>
      <c r="G5229" s="13">
        <v>32500</v>
      </c>
      <c r="I5229" t="s">
        <v>153</v>
      </c>
      <c r="J5229" t="s">
        <v>559</v>
      </c>
      <c r="K5229" t="s">
        <v>1044</v>
      </c>
      <c r="L5229">
        <v>9001121116</v>
      </c>
      <c r="N5229" t="s">
        <v>1031</v>
      </c>
    </row>
    <row r="5230" spans="3:14">
      <c r="C5230">
        <v>2100300025</v>
      </c>
      <c r="D5230">
        <v>6426000</v>
      </c>
      <c r="E5230" t="s">
        <v>188</v>
      </c>
      <c r="F5230">
        <v>5104030212</v>
      </c>
      <c r="G5230" s="13">
        <v>32500</v>
      </c>
      <c r="I5230" t="s">
        <v>153</v>
      </c>
      <c r="J5230" t="s">
        <v>862</v>
      </c>
      <c r="K5230" t="s">
        <v>1044</v>
      </c>
      <c r="L5230">
        <v>9001585502</v>
      </c>
      <c r="N5230" t="s">
        <v>1031</v>
      </c>
    </row>
    <row r="5231" spans="3:14">
      <c r="C5231">
        <v>2100300025</v>
      </c>
      <c r="D5231">
        <v>6426000</v>
      </c>
      <c r="E5231" t="s">
        <v>188</v>
      </c>
      <c r="F5231">
        <v>5104030212</v>
      </c>
      <c r="G5231" s="13">
        <v>32500</v>
      </c>
      <c r="I5231" t="s">
        <v>153</v>
      </c>
      <c r="J5231" t="s">
        <v>935</v>
      </c>
      <c r="K5231" t="s">
        <v>1044</v>
      </c>
      <c r="L5231">
        <v>9000828863</v>
      </c>
      <c r="N5231" t="s">
        <v>1031</v>
      </c>
    </row>
    <row r="5232" spans="3:14">
      <c r="C5232">
        <v>2100300025</v>
      </c>
      <c r="D5232">
        <v>6426000</v>
      </c>
      <c r="E5232" t="s">
        <v>188</v>
      </c>
      <c r="F5232">
        <v>5104030212</v>
      </c>
      <c r="G5232" s="13">
        <v>32500</v>
      </c>
      <c r="I5232" t="s">
        <v>153</v>
      </c>
      <c r="J5232" t="s">
        <v>948</v>
      </c>
      <c r="K5232" t="s">
        <v>1044</v>
      </c>
      <c r="L5232">
        <v>9001020385</v>
      </c>
      <c r="N5232" t="s">
        <v>1031</v>
      </c>
    </row>
    <row r="5233" spans="3:14">
      <c r="C5233">
        <v>2100300025</v>
      </c>
      <c r="D5233">
        <v>6426000</v>
      </c>
      <c r="E5233" t="s">
        <v>188</v>
      </c>
      <c r="F5233">
        <v>5104030212</v>
      </c>
      <c r="G5233" s="13">
        <v>32500</v>
      </c>
      <c r="I5233" t="s">
        <v>153</v>
      </c>
      <c r="J5233" t="s">
        <v>965</v>
      </c>
      <c r="K5233" t="s">
        <v>1044</v>
      </c>
      <c r="L5233">
        <v>9001288342</v>
      </c>
      <c r="N5233" t="s">
        <v>1031</v>
      </c>
    </row>
    <row r="5234" spans="3:14">
      <c r="C5234">
        <v>2100300025</v>
      </c>
      <c r="D5234">
        <v>6426000</v>
      </c>
      <c r="E5234" t="s">
        <v>188</v>
      </c>
      <c r="F5234">
        <v>5104030212</v>
      </c>
      <c r="G5234" s="13">
        <v>32500</v>
      </c>
      <c r="I5234" t="s">
        <v>153</v>
      </c>
      <c r="J5234" t="s">
        <v>985</v>
      </c>
      <c r="K5234" t="s">
        <v>1044</v>
      </c>
      <c r="L5234">
        <v>9001759217</v>
      </c>
      <c r="N5234" t="s">
        <v>1031</v>
      </c>
    </row>
    <row r="5235" spans="3:14">
      <c r="C5235">
        <v>2100300025</v>
      </c>
      <c r="D5235">
        <v>6426000</v>
      </c>
      <c r="E5235" t="s">
        <v>188</v>
      </c>
      <c r="F5235">
        <v>5101010199</v>
      </c>
      <c r="G5235" s="13">
        <v>18000</v>
      </c>
      <c r="I5235" t="s">
        <v>156</v>
      </c>
      <c r="J5235" t="s">
        <v>904</v>
      </c>
      <c r="K5235" t="s">
        <v>190</v>
      </c>
      <c r="L5235">
        <v>3300017011</v>
      </c>
    </row>
    <row r="5236" spans="3:14">
      <c r="C5236">
        <v>2100300025</v>
      </c>
      <c r="D5236">
        <v>6426000</v>
      </c>
      <c r="E5236" t="s">
        <v>188</v>
      </c>
      <c r="F5236">
        <v>5101010199</v>
      </c>
      <c r="G5236" s="13">
        <v>35000</v>
      </c>
      <c r="I5236" t="s">
        <v>156</v>
      </c>
      <c r="J5236" t="s">
        <v>836</v>
      </c>
      <c r="K5236" t="s">
        <v>190</v>
      </c>
      <c r="L5236">
        <v>3300038233</v>
      </c>
    </row>
    <row r="5237" spans="3:14">
      <c r="C5237">
        <v>2100300025</v>
      </c>
      <c r="D5237">
        <v>6426000</v>
      </c>
      <c r="E5237" t="s">
        <v>188</v>
      </c>
      <c r="F5237">
        <v>5101010199</v>
      </c>
      <c r="G5237" s="13">
        <v>36000</v>
      </c>
      <c r="I5237" t="s">
        <v>156</v>
      </c>
      <c r="J5237" t="s">
        <v>942</v>
      </c>
      <c r="K5237" t="s">
        <v>190</v>
      </c>
      <c r="L5237">
        <v>3300043955</v>
      </c>
    </row>
    <row r="5238" spans="3:14">
      <c r="C5238">
        <v>2100300025</v>
      </c>
      <c r="D5238">
        <v>6426000</v>
      </c>
      <c r="E5238" t="s">
        <v>188</v>
      </c>
      <c r="F5238">
        <v>5101010199</v>
      </c>
      <c r="G5238" s="13">
        <v>32500</v>
      </c>
      <c r="I5238" t="s">
        <v>156</v>
      </c>
      <c r="J5238" t="s">
        <v>557</v>
      </c>
      <c r="K5238" t="s">
        <v>190</v>
      </c>
      <c r="L5238">
        <v>3300070146</v>
      </c>
    </row>
    <row r="5239" spans="3:14">
      <c r="C5239">
        <v>2100300025</v>
      </c>
      <c r="D5239">
        <v>6426000</v>
      </c>
      <c r="E5239" t="s">
        <v>188</v>
      </c>
      <c r="F5239">
        <v>5101010199</v>
      </c>
      <c r="G5239" s="13">
        <v>49000</v>
      </c>
      <c r="I5239" t="s">
        <v>156</v>
      </c>
      <c r="J5239" t="s">
        <v>877</v>
      </c>
      <c r="K5239" t="s">
        <v>190</v>
      </c>
      <c r="L5239">
        <v>3300000725</v>
      </c>
    </row>
    <row r="5240" spans="3:14">
      <c r="C5240">
        <v>2100300025</v>
      </c>
      <c r="D5240">
        <v>6426000</v>
      </c>
      <c r="E5240" t="s">
        <v>188</v>
      </c>
      <c r="F5240">
        <v>5101010199</v>
      </c>
      <c r="G5240" s="13">
        <v>32500</v>
      </c>
      <c r="I5240" t="s">
        <v>156</v>
      </c>
      <c r="J5240" t="s">
        <v>880</v>
      </c>
      <c r="K5240" t="s">
        <v>190</v>
      </c>
      <c r="L5240">
        <v>3300000509</v>
      </c>
    </row>
    <row r="5241" spans="3:14">
      <c r="C5241">
        <v>2100300025</v>
      </c>
      <c r="D5241">
        <v>6426000</v>
      </c>
      <c r="E5241" t="s">
        <v>188</v>
      </c>
      <c r="F5241">
        <v>5101010199</v>
      </c>
      <c r="G5241" s="13">
        <v>45000</v>
      </c>
      <c r="I5241" t="s">
        <v>156</v>
      </c>
      <c r="J5241" t="s">
        <v>900</v>
      </c>
      <c r="K5241" t="s">
        <v>190</v>
      </c>
      <c r="L5241">
        <v>3300009716</v>
      </c>
    </row>
    <row r="5242" spans="3:14">
      <c r="C5242">
        <v>2100300025</v>
      </c>
      <c r="D5242">
        <v>6426000</v>
      </c>
      <c r="E5242" t="s">
        <v>188</v>
      </c>
      <c r="F5242">
        <v>5101010199</v>
      </c>
      <c r="G5242" s="13">
        <v>21000</v>
      </c>
      <c r="I5242" t="s">
        <v>156</v>
      </c>
      <c r="J5242" t="s">
        <v>900</v>
      </c>
      <c r="K5242" t="s">
        <v>190</v>
      </c>
      <c r="L5242">
        <v>3300009612</v>
      </c>
    </row>
    <row r="5243" spans="3:14">
      <c r="C5243">
        <v>2100300025</v>
      </c>
      <c r="D5243">
        <v>6426000</v>
      </c>
      <c r="E5243" t="s">
        <v>188</v>
      </c>
      <c r="F5243">
        <v>5101010199</v>
      </c>
      <c r="G5243" s="13">
        <v>52000</v>
      </c>
      <c r="I5243" t="s">
        <v>156</v>
      </c>
      <c r="J5243" t="s">
        <v>904</v>
      </c>
      <c r="K5243" t="s">
        <v>190</v>
      </c>
      <c r="L5243">
        <v>3300016659</v>
      </c>
    </row>
    <row r="5244" spans="3:14">
      <c r="C5244">
        <v>2100300025</v>
      </c>
      <c r="D5244">
        <v>6426000</v>
      </c>
      <c r="E5244" t="s">
        <v>188</v>
      </c>
      <c r="F5244">
        <v>5101010199</v>
      </c>
      <c r="G5244" s="13">
        <v>21000</v>
      </c>
      <c r="I5244" t="s">
        <v>156</v>
      </c>
      <c r="J5244" t="s">
        <v>822</v>
      </c>
      <c r="K5244" t="s">
        <v>190</v>
      </c>
      <c r="L5244">
        <v>3300017400</v>
      </c>
    </row>
    <row r="5245" spans="3:14">
      <c r="C5245">
        <v>2100300025</v>
      </c>
      <c r="D5245">
        <v>6426000</v>
      </c>
      <c r="E5245" t="s">
        <v>188</v>
      </c>
      <c r="F5245">
        <v>5101010199</v>
      </c>
      <c r="G5245" s="13">
        <v>35000</v>
      </c>
      <c r="I5245" t="s">
        <v>156</v>
      </c>
      <c r="J5245" t="s">
        <v>822</v>
      </c>
      <c r="K5245" t="s">
        <v>190</v>
      </c>
      <c r="L5245">
        <v>3300016979</v>
      </c>
    </row>
    <row r="5246" spans="3:14">
      <c r="C5246">
        <v>2100300025</v>
      </c>
      <c r="D5246">
        <v>6426000</v>
      </c>
      <c r="E5246" t="s">
        <v>188</v>
      </c>
      <c r="F5246">
        <v>5101010199</v>
      </c>
      <c r="G5246" s="13">
        <v>30000</v>
      </c>
      <c r="I5246" t="s">
        <v>156</v>
      </c>
      <c r="J5246" t="s">
        <v>915</v>
      </c>
      <c r="K5246" t="s">
        <v>190</v>
      </c>
      <c r="L5246">
        <v>3300025114</v>
      </c>
    </row>
    <row r="5247" spans="3:14">
      <c r="C5247">
        <v>2100300025</v>
      </c>
      <c r="D5247">
        <v>6426000</v>
      </c>
      <c r="E5247" t="s">
        <v>188</v>
      </c>
      <c r="F5247">
        <v>5101010199</v>
      </c>
      <c r="G5247" s="13">
        <v>44500</v>
      </c>
      <c r="I5247" t="s">
        <v>156</v>
      </c>
      <c r="J5247" t="s">
        <v>823</v>
      </c>
      <c r="K5247" t="s">
        <v>190</v>
      </c>
      <c r="L5247">
        <v>3300023616</v>
      </c>
    </row>
    <row r="5248" spans="3:14">
      <c r="C5248">
        <v>2100300025</v>
      </c>
      <c r="D5248">
        <v>6426000</v>
      </c>
      <c r="E5248" t="s">
        <v>188</v>
      </c>
      <c r="F5248">
        <v>5101010199</v>
      </c>
      <c r="G5248" s="13">
        <v>24000</v>
      </c>
      <c r="I5248" t="s">
        <v>156</v>
      </c>
      <c r="J5248" t="s">
        <v>927</v>
      </c>
      <c r="K5248" t="s">
        <v>190</v>
      </c>
      <c r="L5248">
        <v>3300028870</v>
      </c>
    </row>
    <row r="5249" spans="3:12">
      <c r="C5249">
        <v>2100300025</v>
      </c>
      <c r="D5249">
        <v>6426000</v>
      </c>
      <c r="E5249" t="s">
        <v>188</v>
      </c>
      <c r="F5249">
        <v>5101010199</v>
      </c>
      <c r="G5249" s="13">
        <v>24500</v>
      </c>
      <c r="I5249" t="s">
        <v>156</v>
      </c>
      <c r="J5249" t="s">
        <v>836</v>
      </c>
      <c r="K5249" t="s">
        <v>190</v>
      </c>
      <c r="L5249">
        <v>3300036561</v>
      </c>
    </row>
    <row r="5250" spans="3:12">
      <c r="C5250">
        <v>2100300025</v>
      </c>
      <c r="D5250">
        <v>6426000</v>
      </c>
      <c r="E5250" t="s">
        <v>188</v>
      </c>
      <c r="F5250">
        <v>5101010199</v>
      </c>
      <c r="G5250" s="13">
        <v>16000</v>
      </c>
      <c r="I5250" t="s">
        <v>156</v>
      </c>
      <c r="J5250" t="s">
        <v>942</v>
      </c>
      <c r="K5250" t="s">
        <v>190</v>
      </c>
      <c r="L5250">
        <v>3300041029</v>
      </c>
    </row>
    <row r="5251" spans="3:12">
      <c r="C5251">
        <v>2100300025</v>
      </c>
      <c r="D5251">
        <v>6426000</v>
      </c>
      <c r="E5251" t="s">
        <v>188</v>
      </c>
      <c r="F5251">
        <v>5101010199</v>
      </c>
      <c r="G5251" s="13">
        <v>32500</v>
      </c>
      <c r="I5251" t="s">
        <v>156</v>
      </c>
      <c r="J5251" t="s">
        <v>950</v>
      </c>
      <c r="K5251" t="s">
        <v>190</v>
      </c>
      <c r="L5251">
        <v>3300001347</v>
      </c>
    </row>
    <row r="5252" spans="3:12">
      <c r="C5252">
        <v>2100300025</v>
      </c>
      <c r="D5252">
        <v>6426000</v>
      </c>
      <c r="E5252" t="s">
        <v>188</v>
      </c>
      <c r="F5252">
        <v>5101010199</v>
      </c>
      <c r="G5252" s="13">
        <v>28000</v>
      </c>
      <c r="I5252" t="s">
        <v>156</v>
      </c>
      <c r="J5252" t="s">
        <v>853</v>
      </c>
      <c r="K5252" t="s">
        <v>190</v>
      </c>
      <c r="L5252">
        <v>3300056942</v>
      </c>
    </row>
    <row r="5253" spans="3:12">
      <c r="C5253">
        <v>2100300025</v>
      </c>
      <c r="D5253">
        <v>6426000</v>
      </c>
      <c r="E5253" t="s">
        <v>188</v>
      </c>
      <c r="F5253">
        <v>5101010199</v>
      </c>
      <c r="G5253" s="13">
        <v>24500</v>
      </c>
      <c r="I5253" t="s">
        <v>156</v>
      </c>
      <c r="J5253" t="s">
        <v>557</v>
      </c>
      <c r="K5253" t="s">
        <v>190</v>
      </c>
      <c r="L5253">
        <v>3300070967</v>
      </c>
    </row>
    <row r="5254" spans="3:12">
      <c r="C5254">
        <v>2100300025</v>
      </c>
      <c r="D5254">
        <v>6426000</v>
      </c>
      <c r="E5254" t="s">
        <v>188</v>
      </c>
      <c r="F5254">
        <v>5101010199</v>
      </c>
      <c r="G5254" s="13">
        <v>31500</v>
      </c>
      <c r="I5254" t="s">
        <v>156</v>
      </c>
      <c r="J5254" t="s">
        <v>941</v>
      </c>
      <c r="K5254" t="s">
        <v>190</v>
      </c>
      <c r="L5254">
        <v>3300044527</v>
      </c>
    </row>
    <row r="5255" spans="3:12">
      <c r="C5255">
        <v>2100300025</v>
      </c>
      <c r="D5255">
        <v>6426000</v>
      </c>
      <c r="E5255" t="s">
        <v>188</v>
      </c>
      <c r="F5255">
        <v>5101010199</v>
      </c>
      <c r="G5255" s="13">
        <v>24500</v>
      </c>
      <c r="I5255" t="s">
        <v>156</v>
      </c>
      <c r="J5255" t="s">
        <v>881</v>
      </c>
      <c r="K5255" t="s">
        <v>190</v>
      </c>
      <c r="L5255">
        <v>3300000004</v>
      </c>
    </row>
    <row r="5256" spans="3:12">
      <c r="C5256">
        <v>2100300025</v>
      </c>
      <c r="D5256">
        <v>6426000</v>
      </c>
      <c r="E5256" t="s">
        <v>188</v>
      </c>
      <c r="F5256">
        <v>5101010199</v>
      </c>
      <c r="G5256" s="13">
        <v>32000</v>
      </c>
      <c r="I5256" t="s">
        <v>156</v>
      </c>
      <c r="J5256" t="s">
        <v>881</v>
      </c>
      <c r="K5256" t="s">
        <v>190</v>
      </c>
      <c r="L5256">
        <v>3300001103</v>
      </c>
    </row>
    <row r="5257" spans="3:12">
      <c r="C5257">
        <v>2100300025</v>
      </c>
      <c r="D5257">
        <v>6426000</v>
      </c>
      <c r="E5257" t="s">
        <v>188</v>
      </c>
      <c r="F5257">
        <v>5101010199</v>
      </c>
      <c r="G5257" s="13">
        <v>18000</v>
      </c>
      <c r="I5257" t="s">
        <v>156</v>
      </c>
      <c r="J5257" t="s">
        <v>881</v>
      </c>
      <c r="K5257" t="s">
        <v>190</v>
      </c>
      <c r="L5257">
        <v>3300001002</v>
      </c>
    </row>
    <row r="5258" spans="3:12">
      <c r="C5258">
        <v>2100300025</v>
      </c>
      <c r="D5258">
        <v>6426000</v>
      </c>
      <c r="E5258" t="s">
        <v>188</v>
      </c>
      <c r="F5258">
        <v>5101010199</v>
      </c>
      <c r="G5258" s="13">
        <v>22000</v>
      </c>
      <c r="I5258" t="s">
        <v>156</v>
      </c>
      <c r="J5258" t="s">
        <v>810</v>
      </c>
      <c r="K5258" t="s">
        <v>190</v>
      </c>
      <c r="L5258">
        <v>3300005506</v>
      </c>
    </row>
    <row r="5259" spans="3:12">
      <c r="C5259">
        <v>2100300025</v>
      </c>
      <c r="D5259">
        <v>6426000</v>
      </c>
      <c r="E5259" t="s">
        <v>188</v>
      </c>
      <c r="F5259">
        <v>5101010199</v>
      </c>
      <c r="G5259" s="13">
        <v>31500</v>
      </c>
      <c r="I5259" t="s">
        <v>156</v>
      </c>
      <c r="J5259" t="s">
        <v>887</v>
      </c>
      <c r="K5259" t="s">
        <v>190</v>
      </c>
      <c r="L5259">
        <v>3300000057</v>
      </c>
    </row>
    <row r="5260" spans="3:12">
      <c r="C5260">
        <v>2100300025</v>
      </c>
      <c r="D5260">
        <v>6426000</v>
      </c>
      <c r="E5260" t="s">
        <v>188</v>
      </c>
      <c r="F5260">
        <v>5101010199</v>
      </c>
      <c r="G5260" s="13">
        <v>41000</v>
      </c>
      <c r="I5260" t="s">
        <v>156</v>
      </c>
      <c r="J5260" t="s">
        <v>887</v>
      </c>
      <c r="K5260" t="s">
        <v>190</v>
      </c>
      <c r="L5260">
        <v>3300005209</v>
      </c>
    </row>
    <row r="5261" spans="3:12">
      <c r="C5261">
        <v>2100300025</v>
      </c>
      <c r="D5261">
        <v>6426000</v>
      </c>
      <c r="E5261" t="s">
        <v>188</v>
      </c>
      <c r="F5261">
        <v>5101010199</v>
      </c>
      <c r="G5261" s="13">
        <v>32500</v>
      </c>
      <c r="I5261" t="s">
        <v>156</v>
      </c>
      <c r="J5261" t="s">
        <v>887</v>
      </c>
      <c r="K5261" t="s">
        <v>190</v>
      </c>
      <c r="L5261">
        <v>3300005210</v>
      </c>
    </row>
    <row r="5262" spans="3:12">
      <c r="C5262">
        <v>2100300025</v>
      </c>
      <c r="D5262">
        <v>6426000</v>
      </c>
      <c r="E5262" t="s">
        <v>188</v>
      </c>
      <c r="F5262">
        <v>5101010199</v>
      </c>
      <c r="G5262" s="13">
        <v>22000</v>
      </c>
      <c r="I5262" t="s">
        <v>156</v>
      </c>
      <c r="J5262" t="s">
        <v>814</v>
      </c>
      <c r="K5262" t="s">
        <v>190</v>
      </c>
      <c r="L5262">
        <v>3300009159</v>
      </c>
    </row>
    <row r="5263" spans="3:12">
      <c r="C5263">
        <v>2100300025</v>
      </c>
      <c r="D5263">
        <v>6426000</v>
      </c>
      <c r="E5263" t="s">
        <v>188</v>
      </c>
      <c r="F5263">
        <v>5101010199</v>
      </c>
      <c r="G5263" s="13">
        <v>30000</v>
      </c>
      <c r="I5263" t="s">
        <v>156</v>
      </c>
      <c r="J5263" t="s">
        <v>814</v>
      </c>
      <c r="K5263" t="s">
        <v>190</v>
      </c>
      <c r="L5263">
        <v>3300009504</v>
      </c>
    </row>
    <row r="5264" spans="3:12">
      <c r="C5264">
        <v>2100300025</v>
      </c>
      <c r="D5264">
        <v>6426000</v>
      </c>
      <c r="E5264" t="s">
        <v>188</v>
      </c>
      <c r="F5264">
        <v>5101010199</v>
      </c>
      <c r="G5264" s="13">
        <v>24000</v>
      </c>
      <c r="I5264" t="s">
        <v>156</v>
      </c>
      <c r="J5264" t="s">
        <v>920</v>
      </c>
      <c r="K5264" t="s">
        <v>190</v>
      </c>
      <c r="L5264">
        <v>3300024367</v>
      </c>
    </row>
    <row r="5265" spans="3:12">
      <c r="C5265">
        <v>2100300025</v>
      </c>
      <c r="D5265">
        <v>6426000</v>
      </c>
      <c r="E5265" t="s">
        <v>188</v>
      </c>
      <c r="F5265">
        <v>5101010199</v>
      </c>
      <c r="G5265" s="13">
        <v>28000</v>
      </c>
      <c r="I5265" t="s">
        <v>156</v>
      </c>
      <c r="J5265" t="s">
        <v>920</v>
      </c>
      <c r="K5265" t="s">
        <v>190</v>
      </c>
      <c r="L5265">
        <v>3300005164</v>
      </c>
    </row>
    <row r="5266" spans="3:12">
      <c r="C5266">
        <v>2100300025</v>
      </c>
      <c r="D5266">
        <v>6426000</v>
      </c>
      <c r="E5266" t="s">
        <v>188</v>
      </c>
      <c r="F5266">
        <v>5101010199</v>
      </c>
      <c r="G5266" s="13">
        <v>21000</v>
      </c>
      <c r="I5266" t="s">
        <v>156</v>
      </c>
      <c r="J5266" t="s">
        <v>927</v>
      </c>
      <c r="K5266" t="s">
        <v>190</v>
      </c>
      <c r="L5266">
        <v>3300029624</v>
      </c>
    </row>
    <row r="5267" spans="3:12">
      <c r="C5267">
        <v>2100300025</v>
      </c>
      <c r="D5267">
        <v>6426000</v>
      </c>
      <c r="E5267" t="s">
        <v>188</v>
      </c>
      <c r="F5267">
        <v>5101010199</v>
      </c>
      <c r="G5267" s="13">
        <v>27500</v>
      </c>
      <c r="I5267" t="s">
        <v>156</v>
      </c>
      <c r="J5267" t="s">
        <v>927</v>
      </c>
      <c r="K5267" t="s">
        <v>190</v>
      </c>
      <c r="L5267">
        <v>3300028869</v>
      </c>
    </row>
    <row r="5268" spans="3:12">
      <c r="C5268">
        <v>2100300025</v>
      </c>
      <c r="D5268">
        <v>6426000</v>
      </c>
      <c r="E5268" t="s">
        <v>188</v>
      </c>
      <c r="F5268">
        <v>5101010199</v>
      </c>
      <c r="G5268" s="13">
        <v>48500</v>
      </c>
      <c r="I5268" t="s">
        <v>156</v>
      </c>
      <c r="J5268" t="s">
        <v>927</v>
      </c>
      <c r="K5268" t="s">
        <v>190</v>
      </c>
      <c r="L5268">
        <v>3300029625</v>
      </c>
    </row>
    <row r="5269" spans="3:12">
      <c r="C5269">
        <v>2100300025</v>
      </c>
      <c r="D5269">
        <v>6426000</v>
      </c>
      <c r="E5269" t="s">
        <v>188</v>
      </c>
      <c r="F5269">
        <v>5101010199</v>
      </c>
      <c r="G5269" s="13">
        <v>55500</v>
      </c>
      <c r="I5269" t="s">
        <v>156</v>
      </c>
      <c r="J5269" t="s">
        <v>933</v>
      </c>
      <c r="K5269" t="s">
        <v>190</v>
      </c>
      <c r="L5269">
        <v>3300038660</v>
      </c>
    </row>
    <row r="5270" spans="3:12">
      <c r="C5270">
        <v>2100300025</v>
      </c>
      <c r="D5270">
        <v>6426000</v>
      </c>
      <c r="E5270" t="s">
        <v>188</v>
      </c>
      <c r="F5270">
        <v>5101010199</v>
      </c>
      <c r="G5270" s="13">
        <v>28000</v>
      </c>
      <c r="I5270" t="s">
        <v>156</v>
      </c>
      <c r="J5270" t="s">
        <v>836</v>
      </c>
      <c r="K5270" t="s">
        <v>190</v>
      </c>
      <c r="L5270">
        <v>3300038232</v>
      </c>
    </row>
    <row r="5271" spans="3:12">
      <c r="C5271">
        <v>2100300025</v>
      </c>
      <c r="D5271">
        <v>6426000</v>
      </c>
      <c r="E5271" t="s">
        <v>188</v>
      </c>
      <c r="F5271">
        <v>5101010199</v>
      </c>
      <c r="G5271" s="13">
        <v>26000</v>
      </c>
      <c r="I5271" t="s">
        <v>156</v>
      </c>
      <c r="J5271" t="s">
        <v>942</v>
      </c>
      <c r="K5271" t="s">
        <v>190</v>
      </c>
      <c r="L5271">
        <v>3300033836</v>
      </c>
    </row>
    <row r="5272" spans="3:12">
      <c r="C5272">
        <v>2100300025</v>
      </c>
      <c r="D5272">
        <v>6426000</v>
      </c>
      <c r="E5272" t="s">
        <v>188</v>
      </c>
      <c r="F5272">
        <v>5101010199</v>
      </c>
      <c r="G5272" s="13">
        <v>43000</v>
      </c>
      <c r="I5272" t="s">
        <v>156</v>
      </c>
      <c r="J5272" t="s">
        <v>950</v>
      </c>
      <c r="K5272" t="s">
        <v>190</v>
      </c>
      <c r="L5272">
        <v>3300049545</v>
      </c>
    </row>
    <row r="5273" spans="3:12">
      <c r="C5273">
        <v>2100300025</v>
      </c>
      <c r="D5273">
        <v>6426000</v>
      </c>
      <c r="E5273" t="s">
        <v>188</v>
      </c>
      <c r="F5273">
        <v>5101010199</v>
      </c>
      <c r="G5273" s="13">
        <v>20000</v>
      </c>
      <c r="I5273" t="s">
        <v>156</v>
      </c>
      <c r="J5273" t="s">
        <v>950</v>
      </c>
      <c r="K5273" t="s">
        <v>190</v>
      </c>
      <c r="L5273">
        <v>3300050039</v>
      </c>
    </row>
    <row r="5274" spans="3:12">
      <c r="C5274">
        <v>2100300025</v>
      </c>
      <c r="D5274">
        <v>6426000</v>
      </c>
      <c r="E5274" t="s">
        <v>188</v>
      </c>
      <c r="F5274">
        <v>5101010199</v>
      </c>
      <c r="G5274" s="13">
        <v>14000</v>
      </c>
      <c r="I5274" t="s">
        <v>156</v>
      </c>
      <c r="J5274" t="s">
        <v>950</v>
      </c>
      <c r="K5274" t="s">
        <v>190</v>
      </c>
      <c r="L5274">
        <v>3300001348</v>
      </c>
    </row>
    <row r="5275" spans="3:12">
      <c r="C5275">
        <v>2100300025</v>
      </c>
      <c r="D5275">
        <v>6426000</v>
      </c>
      <c r="E5275" t="s">
        <v>188</v>
      </c>
      <c r="F5275">
        <v>5101010199</v>
      </c>
      <c r="G5275" s="13">
        <v>32500</v>
      </c>
      <c r="I5275" t="s">
        <v>156</v>
      </c>
      <c r="J5275" t="s">
        <v>855</v>
      </c>
      <c r="K5275" t="s">
        <v>190</v>
      </c>
      <c r="L5275">
        <v>3300056560</v>
      </c>
    </row>
    <row r="5276" spans="3:12">
      <c r="C5276">
        <v>2100300025</v>
      </c>
      <c r="D5276">
        <v>6426000</v>
      </c>
      <c r="E5276" t="s">
        <v>188</v>
      </c>
      <c r="F5276">
        <v>5101010199</v>
      </c>
      <c r="G5276" s="13">
        <v>24500</v>
      </c>
      <c r="I5276" t="s">
        <v>156</v>
      </c>
      <c r="J5276" t="s">
        <v>855</v>
      </c>
      <c r="K5276" t="s">
        <v>190</v>
      </c>
      <c r="L5276">
        <v>3300056562</v>
      </c>
    </row>
    <row r="5277" spans="3:12">
      <c r="C5277">
        <v>2100300025</v>
      </c>
      <c r="D5277">
        <v>6426000</v>
      </c>
      <c r="E5277" t="s">
        <v>188</v>
      </c>
      <c r="F5277">
        <v>5101010199</v>
      </c>
      <c r="G5277" s="13">
        <v>53500</v>
      </c>
      <c r="I5277" t="s">
        <v>156</v>
      </c>
      <c r="J5277" t="s">
        <v>855</v>
      </c>
      <c r="K5277" t="s">
        <v>190</v>
      </c>
      <c r="L5277">
        <v>3300057421</v>
      </c>
    </row>
    <row r="5278" spans="3:12">
      <c r="C5278">
        <v>2100300025</v>
      </c>
      <c r="D5278">
        <v>6426000</v>
      </c>
      <c r="E5278" t="s">
        <v>188</v>
      </c>
      <c r="F5278">
        <v>5101010199</v>
      </c>
      <c r="G5278" s="13">
        <v>35000</v>
      </c>
      <c r="I5278" t="s">
        <v>156</v>
      </c>
      <c r="J5278" t="s">
        <v>967</v>
      </c>
      <c r="K5278" t="s">
        <v>190</v>
      </c>
      <c r="L5278">
        <v>3300064264</v>
      </c>
    </row>
    <row r="5279" spans="3:12">
      <c r="C5279">
        <v>2100300025</v>
      </c>
      <c r="D5279">
        <v>6426000</v>
      </c>
      <c r="E5279" t="s">
        <v>188</v>
      </c>
      <c r="F5279">
        <v>5101010199</v>
      </c>
      <c r="G5279" s="13">
        <v>20000</v>
      </c>
      <c r="I5279" t="s">
        <v>156</v>
      </c>
      <c r="J5279" t="s">
        <v>857</v>
      </c>
      <c r="K5279" t="s">
        <v>190</v>
      </c>
      <c r="L5279">
        <v>3300064043</v>
      </c>
    </row>
    <row r="5280" spans="3:12">
      <c r="C5280">
        <v>2100300025</v>
      </c>
      <c r="D5280">
        <v>6426000</v>
      </c>
      <c r="E5280" t="s">
        <v>188</v>
      </c>
      <c r="F5280">
        <v>5101010199</v>
      </c>
      <c r="G5280" s="13">
        <v>43000</v>
      </c>
      <c r="I5280" t="s">
        <v>156</v>
      </c>
      <c r="J5280" t="s">
        <v>857</v>
      </c>
      <c r="K5280" t="s">
        <v>190</v>
      </c>
      <c r="L5280">
        <v>3300063958</v>
      </c>
    </row>
    <row r="5281" spans="3:12">
      <c r="C5281">
        <v>2100300025</v>
      </c>
      <c r="D5281">
        <v>6426000</v>
      </c>
      <c r="E5281" t="s">
        <v>188</v>
      </c>
      <c r="F5281">
        <v>5101010199</v>
      </c>
      <c r="G5281" s="13">
        <v>32500</v>
      </c>
      <c r="I5281" t="s">
        <v>156</v>
      </c>
      <c r="J5281" t="s">
        <v>859</v>
      </c>
      <c r="K5281" t="s">
        <v>190</v>
      </c>
      <c r="L5281">
        <v>3300064016</v>
      </c>
    </row>
    <row r="5282" spans="3:12">
      <c r="C5282">
        <v>2100300025</v>
      </c>
      <c r="D5282">
        <v>6426000</v>
      </c>
      <c r="E5282" t="s">
        <v>188</v>
      </c>
      <c r="F5282">
        <v>5101010199</v>
      </c>
      <c r="G5282" s="13">
        <v>28000</v>
      </c>
      <c r="I5282" t="s">
        <v>156</v>
      </c>
      <c r="J5282" t="s">
        <v>557</v>
      </c>
      <c r="K5282" t="s">
        <v>190</v>
      </c>
      <c r="L5282">
        <v>3300069342</v>
      </c>
    </row>
    <row r="5283" spans="3:12">
      <c r="C5283">
        <v>2100300025</v>
      </c>
      <c r="D5283">
        <v>6426000</v>
      </c>
      <c r="E5283" t="s">
        <v>188</v>
      </c>
      <c r="F5283">
        <v>5101010199</v>
      </c>
      <c r="G5283" s="13">
        <v>46000</v>
      </c>
      <c r="I5283" t="s">
        <v>156</v>
      </c>
      <c r="J5283" t="s">
        <v>557</v>
      </c>
      <c r="K5283" t="s">
        <v>190</v>
      </c>
      <c r="L5283">
        <v>3300070147</v>
      </c>
    </row>
    <row r="5284" spans="3:12">
      <c r="C5284">
        <v>2100300025</v>
      </c>
      <c r="D5284">
        <v>6426000</v>
      </c>
      <c r="E5284" t="s">
        <v>188</v>
      </c>
      <c r="F5284">
        <v>5104010104</v>
      </c>
      <c r="G5284" s="13">
        <v>3210</v>
      </c>
      <c r="I5284" t="s">
        <v>156</v>
      </c>
      <c r="J5284" t="s">
        <v>898</v>
      </c>
      <c r="K5284" t="s">
        <v>69</v>
      </c>
      <c r="L5284">
        <v>3300013821</v>
      </c>
    </row>
    <row r="5285" spans="3:12">
      <c r="C5285">
        <v>2100300025</v>
      </c>
      <c r="D5285">
        <v>6426000</v>
      </c>
      <c r="E5285" t="s">
        <v>188</v>
      </c>
      <c r="F5285">
        <v>5104010104</v>
      </c>
      <c r="G5285" s="13">
        <v>1900</v>
      </c>
      <c r="I5285" t="s">
        <v>156</v>
      </c>
      <c r="J5285" t="s">
        <v>878</v>
      </c>
      <c r="K5285" t="s">
        <v>69</v>
      </c>
      <c r="L5285">
        <v>3300002396</v>
      </c>
    </row>
    <row r="5286" spans="3:12">
      <c r="C5286">
        <v>2100300025</v>
      </c>
      <c r="D5286">
        <v>6426000</v>
      </c>
      <c r="E5286" t="s">
        <v>188</v>
      </c>
      <c r="F5286">
        <v>5104010104</v>
      </c>
      <c r="G5286" s="13">
        <v>3500</v>
      </c>
      <c r="I5286" t="s">
        <v>156</v>
      </c>
      <c r="J5286" t="s">
        <v>882</v>
      </c>
      <c r="K5286" t="s">
        <v>69</v>
      </c>
      <c r="L5286">
        <v>3300002759</v>
      </c>
    </row>
    <row r="5287" spans="3:12">
      <c r="C5287">
        <v>2100300025</v>
      </c>
      <c r="D5287">
        <v>6426000</v>
      </c>
      <c r="E5287" t="s">
        <v>188</v>
      </c>
      <c r="F5287">
        <v>5104010104</v>
      </c>
      <c r="G5287" s="13">
        <v>3605</v>
      </c>
      <c r="I5287" t="s">
        <v>156</v>
      </c>
      <c r="J5287" t="s">
        <v>882</v>
      </c>
      <c r="K5287" t="s">
        <v>69</v>
      </c>
      <c r="L5287">
        <v>3300003208</v>
      </c>
    </row>
    <row r="5288" spans="3:12">
      <c r="C5288">
        <v>2100300025</v>
      </c>
      <c r="D5288">
        <v>6426000</v>
      </c>
      <c r="E5288" t="s">
        <v>188</v>
      </c>
      <c r="F5288">
        <v>5104010104</v>
      </c>
      <c r="G5288" s="13">
        <v>2000</v>
      </c>
      <c r="I5288" t="s">
        <v>156</v>
      </c>
      <c r="J5288" t="s">
        <v>887</v>
      </c>
      <c r="K5288" t="s">
        <v>69</v>
      </c>
      <c r="L5288">
        <v>3300005212</v>
      </c>
    </row>
    <row r="5289" spans="3:12">
      <c r="C5289">
        <v>2100300025</v>
      </c>
      <c r="D5289">
        <v>6426000</v>
      </c>
      <c r="E5289" t="s">
        <v>188</v>
      </c>
      <c r="F5289">
        <v>5104010104</v>
      </c>
      <c r="G5289">
        <v>700</v>
      </c>
      <c r="I5289" t="s">
        <v>156</v>
      </c>
      <c r="J5289" t="s">
        <v>808</v>
      </c>
      <c r="K5289" t="s">
        <v>69</v>
      </c>
      <c r="L5289">
        <v>3300004069</v>
      </c>
    </row>
    <row r="5290" spans="3:12">
      <c r="C5290">
        <v>2100300025</v>
      </c>
      <c r="D5290">
        <v>6426000</v>
      </c>
      <c r="E5290" t="s">
        <v>188</v>
      </c>
      <c r="F5290">
        <v>5104010104</v>
      </c>
      <c r="G5290" s="13">
        <v>1850</v>
      </c>
      <c r="I5290" t="s">
        <v>156</v>
      </c>
      <c r="J5290" t="s">
        <v>891</v>
      </c>
      <c r="K5290" t="s">
        <v>69</v>
      </c>
      <c r="L5290">
        <v>3300007094</v>
      </c>
    </row>
    <row r="5291" spans="3:12">
      <c r="C5291">
        <v>2100300025</v>
      </c>
      <c r="D5291">
        <v>6426000</v>
      </c>
      <c r="E5291" t="s">
        <v>188</v>
      </c>
      <c r="F5291">
        <v>5104010104</v>
      </c>
      <c r="G5291">
        <v>340</v>
      </c>
      <c r="I5291" t="s">
        <v>156</v>
      </c>
      <c r="J5291" t="s">
        <v>871</v>
      </c>
      <c r="K5291" t="s">
        <v>69</v>
      </c>
      <c r="L5291">
        <v>3300014921</v>
      </c>
    </row>
    <row r="5292" spans="3:12">
      <c r="C5292">
        <v>2100300025</v>
      </c>
      <c r="D5292">
        <v>6426000</v>
      </c>
      <c r="E5292" t="s">
        <v>188</v>
      </c>
      <c r="F5292">
        <v>5104010104</v>
      </c>
      <c r="G5292" s="13">
        <v>1210</v>
      </c>
      <c r="I5292" t="s">
        <v>156</v>
      </c>
      <c r="J5292" t="s">
        <v>814</v>
      </c>
      <c r="K5292" t="s">
        <v>69</v>
      </c>
      <c r="L5292">
        <v>3300009398</v>
      </c>
    </row>
    <row r="5293" spans="3:12">
      <c r="C5293">
        <v>2100300025</v>
      </c>
      <c r="D5293">
        <v>6426000</v>
      </c>
      <c r="E5293" t="s">
        <v>188</v>
      </c>
      <c r="F5293">
        <v>5104010104</v>
      </c>
      <c r="G5293">
        <v>500</v>
      </c>
      <c r="I5293" t="s">
        <v>156</v>
      </c>
      <c r="J5293" t="s">
        <v>814</v>
      </c>
      <c r="K5293" t="s">
        <v>69</v>
      </c>
      <c r="L5293">
        <v>3300005117</v>
      </c>
    </row>
    <row r="5294" spans="3:12">
      <c r="C5294">
        <v>2100300025</v>
      </c>
      <c r="D5294">
        <v>6426000</v>
      </c>
      <c r="E5294" t="s">
        <v>188</v>
      </c>
      <c r="F5294">
        <v>5104010104</v>
      </c>
      <c r="G5294" s="13">
        <v>1800</v>
      </c>
      <c r="I5294" t="s">
        <v>156</v>
      </c>
      <c r="J5294" t="s">
        <v>898</v>
      </c>
      <c r="K5294" t="s">
        <v>69</v>
      </c>
      <c r="L5294">
        <v>3300014265</v>
      </c>
    </row>
    <row r="5295" spans="3:12">
      <c r="C5295">
        <v>2100300025</v>
      </c>
      <c r="D5295">
        <v>6426000</v>
      </c>
      <c r="E5295" t="s">
        <v>188</v>
      </c>
      <c r="F5295">
        <v>5104010104</v>
      </c>
      <c r="G5295">
        <v>890</v>
      </c>
      <c r="I5295" t="s">
        <v>156</v>
      </c>
      <c r="J5295" t="s">
        <v>816</v>
      </c>
      <c r="K5295" t="s">
        <v>69</v>
      </c>
      <c r="L5295">
        <v>3300014125</v>
      </c>
    </row>
    <row r="5296" spans="3:12">
      <c r="C5296">
        <v>2100300025</v>
      </c>
      <c r="D5296">
        <v>6426000</v>
      </c>
      <c r="E5296" t="s">
        <v>188</v>
      </c>
      <c r="F5296">
        <v>5104010104</v>
      </c>
      <c r="G5296" s="13">
        <v>4800</v>
      </c>
      <c r="I5296" t="s">
        <v>156</v>
      </c>
      <c r="J5296" t="s">
        <v>899</v>
      </c>
      <c r="K5296" t="s">
        <v>69</v>
      </c>
      <c r="L5296">
        <v>3300008878</v>
      </c>
    </row>
    <row r="5297" spans="3:12">
      <c r="C5297">
        <v>2100300025</v>
      </c>
      <c r="D5297">
        <v>6426000</v>
      </c>
      <c r="E5297" t="s">
        <v>188</v>
      </c>
      <c r="F5297">
        <v>5104010104</v>
      </c>
      <c r="G5297">
        <v>825</v>
      </c>
      <c r="I5297" t="s">
        <v>156</v>
      </c>
      <c r="J5297" t="s">
        <v>883</v>
      </c>
      <c r="K5297" t="s">
        <v>69</v>
      </c>
      <c r="L5297">
        <v>3300004837</v>
      </c>
    </row>
    <row r="5298" spans="3:12">
      <c r="C5298">
        <v>2100300025</v>
      </c>
      <c r="D5298">
        <v>6426000</v>
      </c>
      <c r="E5298" t="s">
        <v>188</v>
      </c>
      <c r="F5298">
        <v>5104010104</v>
      </c>
      <c r="G5298" s="13">
        <v>3740</v>
      </c>
      <c r="I5298" t="s">
        <v>156</v>
      </c>
      <c r="J5298" t="s">
        <v>902</v>
      </c>
      <c r="K5298" t="s">
        <v>69</v>
      </c>
      <c r="L5298">
        <v>3300016403</v>
      </c>
    </row>
    <row r="5299" spans="3:12">
      <c r="C5299">
        <v>2100300025</v>
      </c>
      <c r="D5299">
        <v>6426000</v>
      </c>
      <c r="E5299" t="s">
        <v>188</v>
      </c>
      <c r="F5299">
        <v>5104010104</v>
      </c>
      <c r="G5299" s="13">
        <v>1498</v>
      </c>
      <c r="I5299" t="s">
        <v>156</v>
      </c>
      <c r="J5299" t="s">
        <v>902</v>
      </c>
      <c r="K5299" t="s">
        <v>69</v>
      </c>
      <c r="L5299">
        <v>3300016330</v>
      </c>
    </row>
    <row r="5300" spans="3:12">
      <c r="C5300">
        <v>2100300025</v>
      </c>
      <c r="D5300">
        <v>6426000</v>
      </c>
      <c r="E5300" t="s">
        <v>188</v>
      </c>
      <c r="F5300">
        <v>5104010104</v>
      </c>
      <c r="G5300" s="13">
        <v>1070</v>
      </c>
      <c r="I5300" t="s">
        <v>156</v>
      </c>
      <c r="J5300" t="s">
        <v>910</v>
      </c>
      <c r="K5300" t="s">
        <v>69</v>
      </c>
      <c r="L5300">
        <v>3300019716</v>
      </c>
    </row>
    <row r="5301" spans="3:12">
      <c r="C5301">
        <v>2100300025</v>
      </c>
      <c r="D5301">
        <v>6426000</v>
      </c>
      <c r="E5301" t="s">
        <v>188</v>
      </c>
      <c r="F5301">
        <v>5104010104</v>
      </c>
      <c r="G5301">
        <v>690</v>
      </c>
      <c r="I5301" t="s">
        <v>156</v>
      </c>
      <c r="J5301" t="s">
        <v>822</v>
      </c>
      <c r="K5301" t="s">
        <v>69</v>
      </c>
      <c r="L5301">
        <v>3300017503</v>
      </c>
    </row>
    <row r="5302" spans="3:12">
      <c r="C5302">
        <v>2100300025</v>
      </c>
      <c r="D5302">
        <v>6426000</v>
      </c>
      <c r="E5302" t="s">
        <v>188</v>
      </c>
      <c r="F5302">
        <v>5104010104</v>
      </c>
      <c r="G5302" s="13">
        <v>3210</v>
      </c>
      <c r="I5302" t="s">
        <v>156</v>
      </c>
      <c r="J5302" t="s">
        <v>799</v>
      </c>
      <c r="K5302" t="s">
        <v>69</v>
      </c>
      <c r="L5302">
        <v>3300021698</v>
      </c>
    </row>
    <row r="5303" spans="3:12">
      <c r="C5303">
        <v>2100300025</v>
      </c>
      <c r="D5303">
        <v>6426000</v>
      </c>
      <c r="E5303" t="s">
        <v>188</v>
      </c>
      <c r="F5303">
        <v>5104010104</v>
      </c>
      <c r="G5303" s="13">
        <v>4250</v>
      </c>
      <c r="I5303" t="s">
        <v>156</v>
      </c>
      <c r="J5303" t="s">
        <v>924</v>
      </c>
      <c r="K5303" t="s">
        <v>69</v>
      </c>
      <c r="L5303">
        <v>3300029753</v>
      </c>
    </row>
    <row r="5304" spans="3:12">
      <c r="C5304">
        <v>2100300025</v>
      </c>
      <c r="D5304">
        <v>6426000</v>
      </c>
      <c r="E5304" t="s">
        <v>188</v>
      </c>
      <c r="F5304">
        <v>5104010104</v>
      </c>
      <c r="G5304" s="13">
        <v>3210</v>
      </c>
      <c r="I5304" t="s">
        <v>156</v>
      </c>
      <c r="J5304" t="s">
        <v>837</v>
      </c>
      <c r="K5304" t="s">
        <v>69</v>
      </c>
      <c r="L5304">
        <v>3300036059</v>
      </c>
    </row>
    <row r="5305" spans="3:12">
      <c r="C5305">
        <v>2100300025</v>
      </c>
      <c r="D5305">
        <v>6426000</v>
      </c>
      <c r="E5305" t="s">
        <v>188</v>
      </c>
      <c r="F5305">
        <v>5104010104</v>
      </c>
      <c r="G5305">
        <v>225</v>
      </c>
      <c r="I5305" t="s">
        <v>156</v>
      </c>
      <c r="J5305" t="s">
        <v>837</v>
      </c>
      <c r="K5305" t="s">
        <v>69</v>
      </c>
      <c r="L5305">
        <v>3300036182</v>
      </c>
    </row>
    <row r="5306" spans="3:12">
      <c r="C5306">
        <v>2100300025</v>
      </c>
      <c r="D5306">
        <v>6426000</v>
      </c>
      <c r="E5306" t="s">
        <v>188</v>
      </c>
      <c r="F5306">
        <v>5104010104</v>
      </c>
      <c r="G5306" s="13">
        <v>4000</v>
      </c>
      <c r="I5306" t="s">
        <v>156</v>
      </c>
      <c r="J5306" t="s">
        <v>938</v>
      </c>
      <c r="K5306" t="s">
        <v>69</v>
      </c>
      <c r="L5306">
        <v>3300041007</v>
      </c>
    </row>
    <row r="5307" spans="3:12">
      <c r="C5307">
        <v>2100300025</v>
      </c>
      <c r="D5307">
        <v>6426000</v>
      </c>
      <c r="E5307" t="s">
        <v>188</v>
      </c>
      <c r="F5307">
        <v>5104010104</v>
      </c>
      <c r="G5307" s="13">
        <v>2475</v>
      </c>
      <c r="I5307" t="s">
        <v>156</v>
      </c>
      <c r="J5307" t="s">
        <v>561</v>
      </c>
      <c r="K5307" t="s">
        <v>69</v>
      </c>
      <c r="L5307">
        <v>3300043387</v>
      </c>
    </row>
    <row r="5308" spans="3:12">
      <c r="C5308">
        <v>2100300025</v>
      </c>
      <c r="D5308">
        <v>6426000</v>
      </c>
      <c r="E5308" t="s">
        <v>188</v>
      </c>
      <c r="F5308">
        <v>5104010104</v>
      </c>
      <c r="G5308" s="13">
        <v>1800</v>
      </c>
      <c r="I5308" t="s">
        <v>156</v>
      </c>
      <c r="J5308" t="s">
        <v>899</v>
      </c>
      <c r="K5308" t="s">
        <v>69</v>
      </c>
      <c r="L5308">
        <v>3300009238</v>
      </c>
    </row>
    <row r="5309" spans="3:12">
      <c r="C5309">
        <v>2100300025</v>
      </c>
      <c r="D5309">
        <v>6426000</v>
      </c>
      <c r="E5309" t="s">
        <v>188</v>
      </c>
      <c r="F5309">
        <v>5104010104</v>
      </c>
      <c r="G5309" s="13">
        <v>2281</v>
      </c>
      <c r="I5309" t="s">
        <v>156</v>
      </c>
      <c r="J5309" t="s">
        <v>875</v>
      </c>
      <c r="K5309" t="s">
        <v>69</v>
      </c>
      <c r="L5309">
        <v>3300000972</v>
      </c>
    </row>
    <row r="5310" spans="3:12">
      <c r="C5310">
        <v>2100300025</v>
      </c>
      <c r="D5310">
        <v>6426000</v>
      </c>
      <c r="E5310" t="s">
        <v>188</v>
      </c>
      <c r="F5310">
        <v>5104010104</v>
      </c>
      <c r="G5310">
        <v>320</v>
      </c>
      <c r="I5310" t="s">
        <v>156</v>
      </c>
      <c r="J5310" t="s">
        <v>885</v>
      </c>
      <c r="K5310" t="s">
        <v>69</v>
      </c>
      <c r="L5310">
        <v>3300006933</v>
      </c>
    </row>
    <row r="5311" spans="3:12">
      <c r="C5311">
        <v>2100300025</v>
      </c>
      <c r="D5311">
        <v>6426000</v>
      </c>
      <c r="E5311" t="s">
        <v>188</v>
      </c>
      <c r="F5311">
        <v>5104010104</v>
      </c>
      <c r="G5311" s="13">
        <v>3360</v>
      </c>
      <c r="I5311" t="s">
        <v>156</v>
      </c>
      <c r="J5311" t="s">
        <v>885</v>
      </c>
      <c r="K5311" t="s">
        <v>69</v>
      </c>
      <c r="L5311">
        <v>3300006934</v>
      </c>
    </row>
    <row r="5312" spans="3:12">
      <c r="C5312">
        <v>2100300025</v>
      </c>
      <c r="D5312">
        <v>6426000</v>
      </c>
      <c r="E5312" t="s">
        <v>188</v>
      </c>
      <c r="F5312">
        <v>5104010104</v>
      </c>
      <c r="G5312">
        <v>500</v>
      </c>
      <c r="I5312" t="s">
        <v>156</v>
      </c>
      <c r="J5312" t="s">
        <v>885</v>
      </c>
      <c r="K5312" t="s">
        <v>69</v>
      </c>
      <c r="L5312">
        <v>3300006391</v>
      </c>
    </row>
    <row r="5313" spans="3:12">
      <c r="C5313">
        <v>2100300025</v>
      </c>
      <c r="D5313">
        <v>6426000</v>
      </c>
      <c r="E5313" t="s">
        <v>188</v>
      </c>
      <c r="F5313">
        <v>5104010104</v>
      </c>
      <c r="G5313" s="13">
        <v>4000</v>
      </c>
      <c r="I5313" t="s">
        <v>156</v>
      </c>
      <c r="J5313" t="s">
        <v>886</v>
      </c>
      <c r="K5313" t="s">
        <v>69</v>
      </c>
      <c r="L5313">
        <v>3300004821</v>
      </c>
    </row>
    <row r="5314" spans="3:12">
      <c r="C5314">
        <v>2100300025</v>
      </c>
      <c r="D5314">
        <v>6426000</v>
      </c>
      <c r="E5314" t="s">
        <v>188</v>
      </c>
      <c r="F5314">
        <v>5104010104</v>
      </c>
      <c r="G5314">
        <v>310</v>
      </c>
      <c r="I5314" t="s">
        <v>156</v>
      </c>
      <c r="J5314" t="s">
        <v>887</v>
      </c>
      <c r="K5314" t="s">
        <v>69</v>
      </c>
      <c r="L5314">
        <v>3300005032</v>
      </c>
    </row>
    <row r="5315" spans="3:12">
      <c r="C5315">
        <v>2100300025</v>
      </c>
      <c r="D5315">
        <v>6426000</v>
      </c>
      <c r="E5315" t="s">
        <v>188</v>
      </c>
      <c r="F5315">
        <v>5104010104</v>
      </c>
      <c r="G5315" s="13">
        <v>3745</v>
      </c>
      <c r="I5315" t="s">
        <v>156</v>
      </c>
      <c r="J5315" t="s">
        <v>808</v>
      </c>
      <c r="K5315" t="s">
        <v>69</v>
      </c>
      <c r="L5315">
        <v>3300004623</v>
      </c>
    </row>
    <row r="5316" spans="3:12">
      <c r="C5316">
        <v>2100300025</v>
      </c>
      <c r="D5316">
        <v>6426000</v>
      </c>
      <c r="E5316" t="s">
        <v>188</v>
      </c>
      <c r="F5316">
        <v>5104010104</v>
      </c>
      <c r="G5316" s="13">
        <v>4250</v>
      </c>
      <c r="I5316" t="s">
        <v>156</v>
      </c>
      <c r="J5316" t="s">
        <v>890</v>
      </c>
      <c r="K5316" t="s">
        <v>69</v>
      </c>
      <c r="L5316">
        <v>3300005556</v>
      </c>
    </row>
    <row r="5317" spans="3:12">
      <c r="C5317">
        <v>2100300025</v>
      </c>
      <c r="D5317">
        <v>6426000</v>
      </c>
      <c r="E5317" t="s">
        <v>188</v>
      </c>
      <c r="F5317">
        <v>5104010104</v>
      </c>
      <c r="G5317">
        <v>400</v>
      </c>
      <c r="I5317" t="s">
        <v>156</v>
      </c>
      <c r="J5317" t="s">
        <v>890</v>
      </c>
      <c r="K5317" t="s">
        <v>69</v>
      </c>
      <c r="L5317">
        <v>3300005973</v>
      </c>
    </row>
    <row r="5318" spans="3:12">
      <c r="C5318">
        <v>2100300025</v>
      </c>
      <c r="D5318">
        <v>6426000</v>
      </c>
      <c r="E5318" t="s">
        <v>188</v>
      </c>
      <c r="F5318">
        <v>5104010104</v>
      </c>
      <c r="G5318">
        <v>905</v>
      </c>
      <c r="I5318" t="s">
        <v>156</v>
      </c>
      <c r="J5318" t="s">
        <v>890</v>
      </c>
      <c r="K5318" t="s">
        <v>69</v>
      </c>
      <c r="L5318">
        <v>3300006518</v>
      </c>
    </row>
    <row r="5319" spans="3:12">
      <c r="C5319">
        <v>2100300025</v>
      </c>
      <c r="D5319">
        <v>6426000</v>
      </c>
      <c r="E5319" t="s">
        <v>188</v>
      </c>
      <c r="F5319">
        <v>5104010104</v>
      </c>
      <c r="G5319" s="13">
        <v>2850</v>
      </c>
      <c r="I5319" t="s">
        <v>156</v>
      </c>
      <c r="J5319" t="s">
        <v>892</v>
      </c>
      <c r="K5319" t="s">
        <v>69</v>
      </c>
      <c r="L5319">
        <v>3300008370</v>
      </c>
    </row>
    <row r="5320" spans="3:12">
      <c r="C5320">
        <v>2100300025</v>
      </c>
      <c r="D5320">
        <v>6426000</v>
      </c>
      <c r="E5320" t="s">
        <v>188</v>
      </c>
      <c r="F5320">
        <v>5104010104</v>
      </c>
      <c r="G5320">
        <v>490</v>
      </c>
      <c r="I5320" t="s">
        <v>156</v>
      </c>
      <c r="J5320" t="s">
        <v>892</v>
      </c>
      <c r="K5320" t="s">
        <v>69</v>
      </c>
      <c r="L5320">
        <v>3300008700</v>
      </c>
    </row>
    <row r="5321" spans="3:12">
      <c r="C5321">
        <v>2100300025</v>
      </c>
      <c r="D5321">
        <v>6426000</v>
      </c>
      <c r="E5321" t="s">
        <v>188</v>
      </c>
      <c r="F5321">
        <v>5104010104</v>
      </c>
      <c r="G5321" s="13">
        <v>1990</v>
      </c>
      <c r="I5321" t="s">
        <v>156</v>
      </c>
      <c r="J5321" t="s">
        <v>892</v>
      </c>
      <c r="K5321" t="s">
        <v>69</v>
      </c>
      <c r="L5321">
        <v>3300008488</v>
      </c>
    </row>
    <row r="5322" spans="3:12">
      <c r="C5322">
        <v>2100300025</v>
      </c>
      <c r="D5322">
        <v>6426000</v>
      </c>
      <c r="E5322" t="s">
        <v>188</v>
      </c>
      <c r="F5322">
        <v>5104010104</v>
      </c>
      <c r="G5322">
        <v>366</v>
      </c>
      <c r="I5322" t="s">
        <v>156</v>
      </c>
      <c r="J5322" t="s">
        <v>892</v>
      </c>
      <c r="K5322" t="s">
        <v>69</v>
      </c>
      <c r="L5322">
        <v>3300008489</v>
      </c>
    </row>
    <row r="5323" spans="3:12">
      <c r="C5323">
        <v>2100300025</v>
      </c>
      <c r="D5323">
        <v>6426000</v>
      </c>
      <c r="E5323" t="s">
        <v>188</v>
      </c>
      <c r="F5323">
        <v>5104010104</v>
      </c>
      <c r="G5323" s="13">
        <v>4210</v>
      </c>
      <c r="I5323" t="s">
        <v>156</v>
      </c>
      <c r="J5323" t="s">
        <v>892</v>
      </c>
      <c r="K5323" t="s">
        <v>69</v>
      </c>
      <c r="L5323">
        <v>3300008374</v>
      </c>
    </row>
    <row r="5324" spans="3:12">
      <c r="C5324">
        <v>2100300025</v>
      </c>
      <c r="D5324">
        <v>6426000</v>
      </c>
      <c r="E5324" t="s">
        <v>188</v>
      </c>
      <c r="F5324">
        <v>5104010104</v>
      </c>
      <c r="G5324" s="13">
        <v>4415</v>
      </c>
      <c r="I5324" t="s">
        <v>156</v>
      </c>
      <c r="J5324" t="s">
        <v>893</v>
      </c>
      <c r="K5324" t="s">
        <v>69</v>
      </c>
      <c r="L5324">
        <v>3300009681</v>
      </c>
    </row>
    <row r="5325" spans="3:12">
      <c r="C5325">
        <v>2100300025</v>
      </c>
      <c r="D5325">
        <v>6426000</v>
      </c>
      <c r="E5325" t="s">
        <v>188</v>
      </c>
      <c r="F5325">
        <v>5104010104</v>
      </c>
      <c r="G5325" s="13">
        <v>1600</v>
      </c>
      <c r="I5325" t="s">
        <v>156</v>
      </c>
      <c r="J5325" t="s">
        <v>871</v>
      </c>
      <c r="K5325" t="s">
        <v>69</v>
      </c>
      <c r="L5325">
        <v>3300012965</v>
      </c>
    </row>
    <row r="5326" spans="3:12">
      <c r="C5326">
        <v>2100300025</v>
      </c>
      <c r="D5326">
        <v>6426000</v>
      </c>
      <c r="E5326" t="s">
        <v>188</v>
      </c>
      <c r="F5326">
        <v>5104010104</v>
      </c>
      <c r="G5326" s="13">
        <v>3510</v>
      </c>
      <c r="I5326" t="s">
        <v>156</v>
      </c>
      <c r="J5326" t="s">
        <v>871</v>
      </c>
      <c r="K5326" t="s">
        <v>69</v>
      </c>
      <c r="L5326">
        <v>3300014922</v>
      </c>
    </row>
    <row r="5327" spans="3:12">
      <c r="C5327">
        <v>2100300025</v>
      </c>
      <c r="D5327">
        <v>6426000</v>
      </c>
      <c r="E5327" t="s">
        <v>188</v>
      </c>
      <c r="F5327">
        <v>5104010104</v>
      </c>
      <c r="G5327" s="13">
        <v>1800</v>
      </c>
      <c r="I5327" t="s">
        <v>156</v>
      </c>
      <c r="J5327" t="s">
        <v>894</v>
      </c>
      <c r="K5327" t="s">
        <v>69</v>
      </c>
      <c r="L5327">
        <v>3300009798</v>
      </c>
    </row>
    <row r="5328" spans="3:12">
      <c r="C5328">
        <v>2100300025</v>
      </c>
      <c r="D5328">
        <v>6426000</v>
      </c>
      <c r="E5328" t="s">
        <v>188</v>
      </c>
      <c r="F5328">
        <v>5104010104</v>
      </c>
      <c r="G5328" s="13">
        <v>2783</v>
      </c>
      <c r="I5328" t="s">
        <v>156</v>
      </c>
      <c r="J5328" t="s">
        <v>814</v>
      </c>
      <c r="K5328" t="s">
        <v>69</v>
      </c>
      <c r="L5328">
        <v>3300008778</v>
      </c>
    </row>
    <row r="5329" spans="3:12">
      <c r="C5329">
        <v>2100300025</v>
      </c>
      <c r="D5329">
        <v>6426000</v>
      </c>
      <c r="E5329" t="s">
        <v>188</v>
      </c>
      <c r="F5329">
        <v>5104010104</v>
      </c>
      <c r="G5329" s="13">
        <v>1670</v>
      </c>
      <c r="I5329" t="s">
        <v>156</v>
      </c>
      <c r="J5329" t="s">
        <v>814</v>
      </c>
      <c r="K5329" t="s">
        <v>69</v>
      </c>
      <c r="L5329">
        <v>3300009399</v>
      </c>
    </row>
    <row r="5330" spans="3:12">
      <c r="C5330">
        <v>2100300025</v>
      </c>
      <c r="D5330">
        <v>6426000</v>
      </c>
      <c r="E5330" t="s">
        <v>188</v>
      </c>
      <c r="F5330">
        <v>5104010104</v>
      </c>
      <c r="G5330" s="13">
        <v>2511</v>
      </c>
      <c r="I5330" t="s">
        <v>156</v>
      </c>
      <c r="J5330" t="s">
        <v>814</v>
      </c>
      <c r="K5330" t="s">
        <v>69</v>
      </c>
      <c r="L5330">
        <v>3300009702</v>
      </c>
    </row>
    <row r="5331" spans="3:12">
      <c r="C5331">
        <v>2100300025</v>
      </c>
      <c r="D5331">
        <v>6426000</v>
      </c>
      <c r="E5331" t="s">
        <v>188</v>
      </c>
      <c r="F5331">
        <v>5104010104</v>
      </c>
      <c r="G5331" s="13">
        <v>3284</v>
      </c>
      <c r="I5331" t="s">
        <v>156</v>
      </c>
      <c r="J5331" t="s">
        <v>814</v>
      </c>
      <c r="K5331" t="s">
        <v>69</v>
      </c>
      <c r="L5331">
        <v>3300008780</v>
      </c>
    </row>
    <row r="5332" spans="3:12">
      <c r="C5332">
        <v>2100300025</v>
      </c>
      <c r="D5332">
        <v>6426000</v>
      </c>
      <c r="E5332" t="s">
        <v>188</v>
      </c>
      <c r="F5332">
        <v>5104010104</v>
      </c>
      <c r="G5332" s="13">
        <v>3210</v>
      </c>
      <c r="I5332" t="s">
        <v>156</v>
      </c>
      <c r="J5332" t="s">
        <v>814</v>
      </c>
      <c r="K5332" t="s">
        <v>69</v>
      </c>
      <c r="L5332">
        <v>3300009703</v>
      </c>
    </row>
    <row r="5333" spans="3:12">
      <c r="C5333">
        <v>2100300025</v>
      </c>
      <c r="D5333">
        <v>6426000</v>
      </c>
      <c r="E5333" t="s">
        <v>188</v>
      </c>
      <c r="F5333">
        <v>5104010104</v>
      </c>
      <c r="G5333" s="13">
        <v>4500</v>
      </c>
      <c r="I5333" t="s">
        <v>156</v>
      </c>
      <c r="J5333" t="s">
        <v>814</v>
      </c>
      <c r="K5333" t="s">
        <v>69</v>
      </c>
      <c r="L5333">
        <v>3300009704</v>
      </c>
    </row>
    <row r="5334" spans="3:12">
      <c r="C5334">
        <v>2100300025</v>
      </c>
      <c r="D5334">
        <v>6426000</v>
      </c>
      <c r="E5334" t="s">
        <v>188</v>
      </c>
      <c r="F5334">
        <v>5104010104</v>
      </c>
      <c r="G5334" s="13">
        <v>1170</v>
      </c>
      <c r="I5334" t="s">
        <v>156</v>
      </c>
      <c r="J5334" t="s">
        <v>898</v>
      </c>
      <c r="K5334" t="s">
        <v>69</v>
      </c>
      <c r="L5334">
        <v>3300013819</v>
      </c>
    </row>
    <row r="5335" spans="3:12">
      <c r="C5335">
        <v>2100300025</v>
      </c>
      <c r="D5335">
        <v>6426000</v>
      </c>
      <c r="E5335" t="s">
        <v>188</v>
      </c>
      <c r="F5335">
        <v>5104010104</v>
      </c>
      <c r="G5335" s="13">
        <v>4800</v>
      </c>
      <c r="I5335" t="s">
        <v>156</v>
      </c>
      <c r="J5335" t="s">
        <v>899</v>
      </c>
      <c r="K5335" t="s">
        <v>69</v>
      </c>
      <c r="L5335">
        <v>3300001049</v>
      </c>
    </row>
    <row r="5336" spans="3:12">
      <c r="C5336">
        <v>2100300025</v>
      </c>
      <c r="D5336">
        <v>6426000</v>
      </c>
      <c r="E5336" t="s">
        <v>188</v>
      </c>
      <c r="F5336">
        <v>5104010104</v>
      </c>
      <c r="G5336" s="13">
        <v>1465</v>
      </c>
      <c r="I5336" t="s">
        <v>156</v>
      </c>
      <c r="J5336" t="s">
        <v>902</v>
      </c>
      <c r="K5336" t="s">
        <v>69</v>
      </c>
      <c r="L5336">
        <v>3300016329</v>
      </c>
    </row>
    <row r="5337" spans="3:12">
      <c r="C5337">
        <v>2100300025</v>
      </c>
      <c r="D5337">
        <v>6426000</v>
      </c>
      <c r="E5337" t="s">
        <v>188</v>
      </c>
      <c r="F5337">
        <v>5104010104</v>
      </c>
      <c r="G5337" s="13">
        <v>1892</v>
      </c>
      <c r="I5337" t="s">
        <v>156</v>
      </c>
      <c r="J5337" t="s">
        <v>872</v>
      </c>
      <c r="K5337" t="s">
        <v>69</v>
      </c>
      <c r="L5337">
        <v>3300020110</v>
      </c>
    </row>
    <row r="5338" spans="3:12">
      <c r="C5338">
        <v>2100300025</v>
      </c>
      <c r="D5338">
        <v>6426000</v>
      </c>
      <c r="E5338" t="s">
        <v>188</v>
      </c>
      <c r="F5338">
        <v>5104010104</v>
      </c>
      <c r="G5338" s="13">
        <v>2000</v>
      </c>
      <c r="I5338" t="s">
        <v>156</v>
      </c>
      <c r="J5338" t="s">
        <v>872</v>
      </c>
      <c r="K5338" t="s">
        <v>69</v>
      </c>
      <c r="L5338">
        <v>3300017751</v>
      </c>
    </row>
    <row r="5339" spans="3:12">
      <c r="C5339">
        <v>2100300025</v>
      </c>
      <c r="D5339">
        <v>6426000</v>
      </c>
      <c r="E5339" t="s">
        <v>188</v>
      </c>
      <c r="F5339">
        <v>5104010104</v>
      </c>
      <c r="G5339" s="13">
        <v>2855</v>
      </c>
      <c r="I5339" t="s">
        <v>156</v>
      </c>
      <c r="J5339" t="s">
        <v>906</v>
      </c>
      <c r="K5339" t="s">
        <v>69</v>
      </c>
      <c r="L5339">
        <v>3300016373</v>
      </c>
    </row>
    <row r="5340" spans="3:12">
      <c r="C5340">
        <v>2100300025</v>
      </c>
      <c r="D5340">
        <v>6426000</v>
      </c>
      <c r="E5340" t="s">
        <v>188</v>
      </c>
      <c r="F5340">
        <v>5104010104</v>
      </c>
      <c r="G5340" s="13">
        <v>4000</v>
      </c>
      <c r="I5340" t="s">
        <v>156</v>
      </c>
      <c r="J5340" t="s">
        <v>822</v>
      </c>
      <c r="K5340" t="s">
        <v>69</v>
      </c>
      <c r="L5340">
        <v>3300017063</v>
      </c>
    </row>
    <row r="5341" spans="3:12">
      <c r="C5341">
        <v>2100300025</v>
      </c>
      <c r="D5341">
        <v>6426000</v>
      </c>
      <c r="E5341" t="s">
        <v>188</v>
      </c>
      <c r="F5341">
        <v>5104010104</v>
      </c>
      <c r="G5341" s="13">
        <v>3415</v>
      </c>
      <c r="I5341" t="s">
        <v>156</v>
      </c>
      <c r="J5341" t="s">
        <v>822</v>
      </c>
      <c r="K5341" t="s">
        <v>69</v>
      </c>
      <c r="L5341">
        <v>3300017504</v>
      </c>
    </row>
    <row r="5342" spans="3:12">
      <c r="C5342">
        <v>2100300025</v>
      </c>
      <c r="D5342">
        <v>6426000</v>
      </c>
      <c r="E5342" t="s">
        <v>188</v>
      </c>
      <c r="F5342">
        <v>5104010104</v>
      </c>
      <c r="G5342" s="13">
        <v>2400</v>
      </c>
      <c r="I5342" t="s">
        <v>156</v>
      </c>
      <c r="J5342" t="s">
        <v>913</v>
      </c>
      <c r="K5342" t="s">
        <v>69</v>
      </c>
      <c r="L5342">
        <v>3300020683</v>
      </c>
    </row>
    <row r="5343" spans="3:12">
      <c r="C5343">
        <v>2100300025</v>
      </c>
      <c r="D5343">
        <v>6426000</v>
      </c>
      <c r="E5343" t="s">
        <v>188</v>
      </c>
      <c r="F5343">
        <v>5104010104</v>
      </c>
      <c r="G5343" s="13">
        <v>2030</v>
      </c>
      <c r="I5343" t="s">
        <v>156</v>
      </c>
      <c r="J5343" t="s">
        <v>799</v>
      </c>
      <c r="K5343" t="s">
        <v>69</v>
      </c>
      <c r="L5343">
        <v>3300022202</v>
      </c>
    </row>
    <row r="5344" spans="3:12">
      <c r="C5344">
        <v>2100300025</v>
      </c>
      <c r="D5344">
        <v>6426000</v>
      </c>
      <c r="E5344" t="s">
        <v>188</v>
      </c>
      <c r="F5344">
        <v>5104010104</v>
      </c>
      <c r="G5344" s="13">
        <v>4780</v>
      </c>
      <c r="I5344" t="s">
        <v>156</v>
      </c>
      <c r="J5344" t="s">
        <v>914</v>
      </c>
      <c r="K5344" t="s">
        <v>69</v>
      </c>
      <c r="L5344">
        <v>3300024599</v>
      </c>
    </row>
    <row r="5345" spans="3:12">
      <c r="C5345">
        <v>2100300025</v>
      </c>
      <c r="D5345">
        <v>6426000</v>
      </c>
      <c r="E5345" t="s">
        <v>188</v>
      </c>
      <c r="F5345">
        <v>5104010104</v>
      </c>
      <c r="G5345" s="13">
        <v>4400</v>
      </c>
      <c r="I5345" t="s">
        <v>156</v>
      </c>
      <c r="J5345" t="s">
        <v>824</v>
      </c>
      <c r="K5345" t="s">
        <v>69</v>
      </c>
      <c r="L5345">
        <v>3300026405</v>
      </c>
    </row>
    <row r="5346" spans="3:12">
      <c r="C5346">
        <v>2100300025</v>
      </c>
      <c r="D5346">
        <v>6426000</v>
      </c>
      <c r="E5346" t="s">
        <v>188</v>
      </c>
      <c r="F5346">
        <v>5104010104</v>
      </c>
      <c r="G5346" s="13">
        <v>1800</v>
      </c>
      <c r="I5346" t="s">
        <v>156</v>
      </c>
      <c r="J5346" t="s">
        <v>824</v>
      </c>
      <c r="K5346" t="s">
        <v>69</v>
      </c>
      <c r="L5346">
        <v>3300025787</v>
      </c>
    </row>
    <row r="5347" spans="3:12">
      <c r="C5347">
        <v>2100300025</v>
      </c>
      <c r="D5347">
        <v>6426000</v>
      </c>
      <c r="E5347" t="s">
        <v>188</v>
      </c>
      <c r="F5347">
        <v>5104010104</v>
      </c>
      <c r="G5347" s="13">
        <v>3210</v>
      </c>
      <c r="I5347" t="s">
        <v>156</v>
      </c>
      <c r="J5347" t="s">
        <v>824</v>
      </c>
      <c r="K5347" t="s">
        <v>69</v>
      </c>
      <c r="L5347">
        <v>3300025788</v>
      </c>
    </row>
    <row r="5348" spans="3:12">
      <c r="C5348">
        <v>2100300025</v>
      </c>
      <c r="D5348">
        <v>6426000</v>
      </c>
      <c r="E5348" t="s">
        <v>188</v>
      </c>
      <c r="F5348">
        <v>5104010104</v>
      </c>
      <c r="G5348" s="13">
        <v>1590</v>
      </c>
      <c r="I5348" t="s">
        <v>156</v>
      </c>
      <c r="J5348" t="s">
        <v>920</v>
      </c>
      <c r="K5348" t="s">
        <v>69</v>
      </c>
      <c r="L5348">
        <v>3300024370</v>
      </c>
    </row>
    <row r="5349" spans="3:12">
      <c r="C5349">
        <v>2100300025</v>
      </c>
      <c r="D5349">
        <v>6426000</v>
      </c>
      <c r="E5349" t="s">
        <v>188</v>
      </c>
      <c r="F5349">
        <v>5104010104</v>
      </c>
      <c r="G5349">
        <v>780</v>
      </c>
      <c r="I5349" t="s">
        <v>156</v>
      </c>
      <c r="J5349" t="s">
        <v>825</v>
      </c>
      <c r="K5349" t="s">
        <v>69</v>
      </c>
      <c r="L5349">
        <v>3300025380</v>
      </c>
    </row>
    <row r="5350" spans="3:12">
      <c r="C5350">
        <v>2100300025</v>
      </c>
      <c r="D5350">
        <v>6426000</v>
      </c>
      <c r="E5350" t="s">
        <v>188</v>
      </c>
      <c r="F5350">
        <v>5104010104</v>
      </c>
      <c r="G5350">
        <v>140</v>
      </c>
      <c r="I5350" t="s">
        <v>156</v>
      </c>
      <c r="J5350" t="s">
        <v>801</v>
      </c>
      <c r="K5350" t="s">
        <v>69</v>
      </c>
      <c r="L5350">
        <v>3300030029</v>
      </c>
    </row>
    <row r="5351" spans="3:12">
      <c r="C5351">
        <v>2100300025</v>
      </c>
      <c r="D5351">
        <v>6426000</v>
      </c>
      <c r="E5351" t="s">
        <v>188</v>
      </c>
      <c r="F5351">
        <v>5104010104</v>
      </c>
      <c r="G5351" s="13">
        <v>4854</v>
      </c>
      <c r="I5351" t="s">
        <v>156</v>
      </c>
      <c r="J5351" t="s">
        <v>801</v>
      </c>
      <c r="K5351" t="s">
        <v>69</v>
      </c>
      <c r="L5351">
        <v>3300030030</v>
      </c>
    </row>
    <row r="5352" spans="3:12">
      <c r="C5352">
        <v>2100300025</v>
      </c>
      <c r="D5352">
        <v>6426000</v>
      </c>
      <c r="E5352" t="s">
        <v>188</v>
      </c>
      <c r="F5352">
        <v>5104010104</v>
      </c>
      <c r="G5352" s="13">
        <v>2490</v>
      </c>
      <c r="I5352" t="s">
        <v>156</v>
      </c>
      <c r="J5352" t="s">
        <v>564</v>
      </c>
      <c r="K5352" t="s">
        <v>69</v>
      </c>
      <c r="L5352">
        <v>3300027824</v>
      </c>
    </row>
    <row r="5353" spans="3:12">
      <c r="C5353">
        <v>2100300025</v>
      </c>
      <c r="D5353">
        <v>6426000</v>
      </c>
      <c r="E5353" t="s">
        <v>188</v>
      </c>
      <c r="F5353">
        <v>5104010104</v>
      </c>
      <c r="G5353" s="13">
        <v>2825</v>
      </c>
      <c r="I5353" t="s">
        <v>156</v>
      </c>
      <c r="J5353" t="s">
        <v>564</v>
      </c>
      <c r="K5353" t="s">
        <v>69</v>
      </c>
      <c r="L5353">
        <v>3300027958</v>
      </c>
    </row>
    <row r="5354" spans="3:12">
      <c r="C5354">
        <v>2100300025</v>
      </c>
      <c r="D5354">
        <v>6426000</v>
      </c>
      <c r="E5354" t="s">
        <v>188</v>
      </c>
      <c r="F5354">
        <v>5104010104</v>
      </c>
      <c r="G5354">
        <v>490</v>
      </c>
      <c r="I5354" t="s">
        <v>156</v>
      </c>
      <c r="J5354" t="s">
        <v>929</v>
      </c>
      <c r="K5354" t="s">
        <v>69</v>
      </c>
      <c r="L5354">
        <v>3300033425</v>
      </c>
    </row>
    <row r="5355" spans="3:12">
      <c r="C5355">
        <v>2100300025</v>
      </c>
      <c r="D5355">
        <v>6426000</v>
      </c>
      <c r="E5355" t="s">
        <v>188</v>
      </c>
      <c r="F5355">
        <v>5104010104</v>
      </c>
      <c r="G5355" s="13">
        <v>1550</v>
      </c>
      <c r="I5355" t="s">
        <v>156</v>
      </c>
      <c r="J5355" t="s">
        <v>932</v>
      </c>
      <c r="K5355" t="s">
        <v>69</v>
      </c>
      <c r="L5355">
        <v>3300037322</v>
      </c>
    </row>
    <row r="5356" spans="3:12">
      <c r="C5356">
        <v>2100300025</v>
      </c>
      <c r="D5356">
        <v>6426000</v>
      </c>
      <c r="E5356" t="s">
        <v>188</v>
      </c>
      <c r="F5356">
        <v>5104010104</v>
      </c>
      <c r="G5356" s="13">
        <v>2200</v>
      </c>
      <c r="I5356" t="s">
        <v>156</v>
      </c>
      <c r="J5356" t="s">
        <v>935</v>
      </c>
      <c r="K5356" t="s">
        <v>69</v>
      </c>
      <c r="L5356">
        <v>3300040621</v>
      </c>
    </row>
    <row r="5357" spans="3:12">
      <c r="C5357">
        <v>2100300025</v>
      </c>
      <c r="D5357">
        <v>6426000</v>
      </c>
      <c r="E5357" t="s">
        <v>188</v>
      </c>
      <c r="F5357">
        <v>5104010104</v>
      </c>
      <c r="G5357">
        <v>500</v>
      </c>
      <c r="I5357" t="s">
        <v>156</v>
      </c>
      <c r="J5357" t="s">
        <v>837</v>
      </c>
      <c r="K5357" t="s">
        <v>69</v>
      </c>
      <c r="L5357">
        <v>3300036128</v>
      </c>
    </row>
    <row r="5358" spans="3:12">
      <c r="C5358">
        <v>2100300025</v>
      </c>
      <c r="D5358">
        <v>6426000</v>
      </c>
      <c r="E5358" t="s">
        <v>188</v>
      </c>
      <c r="F5358">
        <v>5104010104</v>
      </c>
      <c r="G5358" s="13">
        <v>3900</v>
      </c>
      <c r="I5358" t="s">
        <v>156</v>
      </c>
      <c r="J5358" t="s">
        <v>837</v>
      </c>
      <c r="K5358" t="s">
        <v>69</v>
      </c>
      <c r="L5358">
        <v>3300034991</v>
      </c>
    </row>
    <row r="5359" spans="3:12">
      <c r="C5359">
        <v>2100300025</v>
      </c>
      <c r="D5359">
        <v>6426000</v>
      </c>
      <c r="E5359" t="s">
        <v>188</v>
      </c>
      <c r="F5359">
        <v>5104010104</v>
      </c>
      <c r="G5359" s="13">
        <v>4955</v>
      </c>
      <c r="I5359" t="s">
        <v>156</v>
      </c>
      <c r="J5359" t="s">
        <v>837</v>
      </c>
      <c r="K5359" t="s">
        <v>69</v>
      </c>
      <c r="L5359">
        <v>3300036131</v>
      </c>
    </row>
    <row r="5360" spans="3:12">
      <c r="C5360">
        <v>2100300025</v>
      </c>
      <c r="D5360">
        <v>6426000</v>
      </c>
      <c r="E5360" t="s">
        <v>188</v>
      </c>
      <c r="F5360">
        <v>5104010104</v>
      </c>
      <c r="G5360" s="13">
        <v>1900</v>
      </c>
      <c r="I5360" t="s">
        <v>156</v>
      </c>
      <c r="J5360" t="s">
        <v>837</v>
      </c>
      <c r="K5360" t="s">
        <v>69</v>
      </c>
      <c r="L5360">
        <v>3300029772</v>
      </c>
    </row>
    <row r="5361" spans="3:12">
      <c r="C5361">
        <v>2100300025</v>
      </c>
      <c r="D5361">
        <v>6426000</v>
      </c>
      <c r="E5361" t="s">
        <v>188</v>
      </c>
      <c r="F5361">
        <v>5104010104</v>
      </c>
      <c r="G5361" s="13">
        <v>2400</v>
      </c>
      <c r="I5361" t="s">
        <v>156</v>
      </c>
      <c r="J5361" t="s">
        <v>937</v>
      </c>
      <c r="K5361" t="s">
        <v>69</v>
      </c>
      <c r="L5361">
        <v>3300039870</v>
      </c>
    </row>
    <row r="5362" spans="3:12">
      <c r="C5362">
        <v>2100300025</v>
      </c>
      <c r="D5362">
        <v>6426000</v>
      </c>
      <c r="E5362" t="s">
        <v>188</v>
      </c>
      <c r="F5362">
        <v>5104010104</v>
      </c>
      <c r="G5362">
        <v>500</v>
      </c>
      <c r="I5362" t="s">
        <v>156</v>
      </c>
      <c r="J5362" t="s">
        <v>938</v>
      </c>
      <c r="K5362" t="s">
        <v>69</v>
      </c>
      <c r="L5362">
        <v>3300041756</v>
      </c>
    </row>
    <row r="5363" spans="3:12">
      <c r="C5363">
        <v>2100300025</v>
      </c>
      <c r="D5363">
        <v>6426000</v>
      </c>
      <c r="E5363" t="s">
        <v>188</v>
      </c>
      <c r="F5363">
        <v>5104010104</v>
      </c>
      <c r="G5363" s="13">
        <v>4700</v>
      </c>
      <c r="I5363" t="s">
        <v>156</v>
      </c>
      <c r="J5363" t="s">
        <v>939</v>
      </c>
      <c r="K5363" t="s">
        <v>69</v>
      </c>
      <c r="L5363">
        <v>3300042052</v>
      </c>
    </row>
    <row r="5364" spans="3:12">
      <c r="C5364">
        <v>2100300025</v>
      </c>
      <c r="D5364">
        <v>6426000</v>
      </c>
      <c r="E5364" t="s">
        <v>188</v>
      </c>
      <c r="F5364">
        <v>5104010104</v>
      </c>
      <c r="G5364" s="13">
        <v>1123.5</v>
      </c>
      <c r="I5364" t="s">
        <v>156</v>
      </c>
      <c r="J5364" t="s">
        <v>945</v>
      </c>
      <c r="K5364" t="s">
        <v>69</v>
      </c>
      <c r="L5364">
        <v>3300047860</v>
      </c>
    </row>
    <row r="5365" spans="3:12">
      <c r="C5365">
        <v>2100300025</v>
      </c>
      <c r="D5365">
        <v>6426000</v>
      </c>
      <c r="E5365" t="s">
        <v>188</v>
      </c>
      <c r="F5365">
        <v>5104010104</v>
      </c>
      <c r="G5365" s="13">
        <v>4200</v>
      </c>
      <c r="I5365" t="s">
        <v>156</v>
      </c>
      <c r="J5365" t="s">
        <v>822</v>
      </c>
      <c r="K5365" t="s">
        <v>69</v>
      </c>
      <c r="L5365">
        <v>3300017501</v>
      </c>
    </row>
    <row r="5366" spans="3:12">
      <c r="C5366">
        <v>2100300025</v>
      </c>
      <c r="D5366">
        <v>6426000</v>
      </c>
      <c r="E5366" t="s">
        <v>188</v>
      </c>
      <c r="F5366">
        <v>5104010104</v>
      </c>
      <c r="G5366" s="13">
        <v>3420</v>
      </c>
      <c r="I5366" t="s">
        <v>156</v>
      </c>
      <c r="J5366" t="s">
        <v>564</v>
      </c>
      <c r="K5366" t="s">
        <v>69</v>
      </c>
      <c r="L5366">
        <v>3300027713</v>
      </c>
    </row>
    <row r="5367" spans="3:12">
      <c r="C5367">
        <v>2100300025</v>
      </c>
      <c r="D5367">
        <v>6426000</v>
      </c>
      <c r="E5367" t="s">
        <v>188</v>
      </c>
      <c r="F5367">
        <v>5104010104</v>
      </c>
      <c r="G5367" s="13">
        <v>3293</v>
      </c>
      <c r="I5367" t="s">
        <v>156</v>
      </c>
      <c r="J5367" t="s">
        <v>837</v>
      </c>
      <c r="K5367" t="s">
        <v>69</v>
      </c>
      <c r="L5367">
        <v>3300037307</v>
      </c>
    </row>
    <row r="5368" spans="3:12">
      <c r="C5368">
        <v>2100300025</v>
      </c>
      <c r="D5368">
        <v>6426000</v>
      </c>
      <c r="E5368" t="s">
        <v>188</v>
      </c>
      <c r="F5368">
        <v>5104010104</v>
      </c>
      <c r="G5368" s="13">
        <v>3600</v>
      </c>
      <c r="I5368" t="s">
        <v>156</v>
      </c>
      <c r="J5368" t="s">
        <v>952</v>
      </c>
      <c r="K5368" t="s">
        <v>69</v>
      </c>
      <c r="L5368">
        <v>3300051538</v>
      </c>
    </row>
    <row r="5369" spans="3:12">
      <c r="C5369">
        <v>2100300025</v>
      </c>
      <c r="D5369">
        <v>6426000</v>
      </c>
      <c r="E5369" t="s">
        <v>188</v>
      </c>
      <c r="F5369">
        <v>5104010104</v>
      </c>
      <c r="G5369">
        <v>750</v>
      </c>
      <c r="I5369" t="s">
        <v>156</v>
      </c>
      <c r="J5369" t="s">
        <v>961</v>
      </c>
      <c r="K5369" t="s">
        <v>69</v>
      </c>
      <c r="L5369">
        <v>3300056113</v>
      </c>
    </row>
    <row r="5370" spans="3:12">
      <c r="C5370">
        <v>2100300025</v>
      </c>
      <c r="D5370">
        <v>6426000</v>
      </c>
      <c r="E5370" t="s">
        <v>188</v>
      </c>
      <c r="F5370">
        <v>5104010104</v>
      </c>
      <c r="G5370" s="13">
        <v>3000</v>
      </c>
      <c r="I5370" t="s">
        <v>156</v>
      </c>
      <c r="J5370" t="s">
        <v>961</v>
      </c>
      <c r="K5370" t="s">
        <v>69</v>
      </c>
      <c r="L5370">
        <v>3300055936</v>
      </c>
    </row>
    <row r="5371" spans="3:12">
      <c r="C5371">
        <v>2100300025</v>
      </c>
      <c r="D5371">
        <v>6426000</v>
      </c>
      <c r="E5371" t="s">
        <v>188</v>
      </c>
      <c r="F5371">
        <v>5104010104</v>
      </c>
      <c r="G5371" s="13">
        <v>1773</v>
      </c>
      <c r="I5371" t="s">
        <v>156</v>
      </c>
      <c r="J5371" t="s">
        <v>980</v>
      </c>
      <c r="K5371" t="s">
        <v>69</v>
      </c>
      <c r="L5371">
        <v>3300066795</v>
      </c>
    </row>
    <row r="5372" spans="3:12">
      <c r="C5372">
        <v>2100300025</v>
      </c>
      <c r="D5372">
        <v>6426000</v>
      </c>
      <c r="E5372" t="s">
        <v>188</v>
      </c>
      <c r="F5372">
        <v>5104010104</v>
      </c>
      <c r="G5372" s="13">
        <v>1237.5</v>
      </c>
      <c r="I5372" t="s">
        <v>156</v>
      </c>
      <c r="J5372" t="s">
        <v>978</v>
      </c>
      <c r="K5372" t="s">
        <v>69</v>
      </c>
      <c r="L5372">
        <v>3300079438</v>
      </c>
    </row>
    <row r="5373" spans="3:12">
      <c r="C5373">
        <v>2100300025</v>
      </c>
      <c r="D5373">
        <v>6426000</v>
      </c>
      <c r="E5373" t="s">
        <v>188</v>
      </c>
      <c r="F5373">
        <v>5104010104</v>
      </c>
      <c r="G5373" s="13">
        <v>2955</v>
      </c>
      <c r="I5373" t="s">
        <v>156</v>
      </c>
      <c r="J5373" t="s">
        <v>978</v>
      </c>
      <c r="K5373" t="s">
        <v>69</v>
      </c>
      <c r="L5373">
        <v>3300079430</v>
      </c>
    </row>
    <row r="5374" spans="3:12">
      <c r="C5374">
        <v>2100300025</v>
      </c>
      <c r="D5374">
        <v>6426000</v>
      </c>
      <c r="E5374" t="s">
        <v>188</v>
      </c>
      <c r="F5374">
        <v>5104010104</v>
      </c>
      <c r="G5374" s="13">
        <v>4800</v>
      </c>
      <c r="I5374" t="s">
        <v>156</v>
      </c>
      <c r="J5374" t="s">
        <v>862</v>
      </c>
      <c r="K5374" t="s">
        <v>69</v>
      </c>
      <c r="L5374">
        <v>3300070644</v>
      </c>
    </row>
    <row r="5375" spans="3:12">
      <c r="C5375">
        <v>2100300025</v>
      </c>
      <c r="D5375">
        <v>6426000</v>
      </c>
      <c r="E5375" t="s">
        <v>188</v>
      </c>
      <c r="F5375">
        <v>5104010104</v>
      </c>
      <c r="G5375" s="13">
        <v>4580</v>
      </c>
      <c r="I5375" t="s">
        <v>156</v>
      </c>
      <c r="J5375" t="s">
        <v>900</v>
      </c>
      <c r="K5375" t="s">
        <v>69</v>
      </c>
      <c r="L5375">
        <v>3300009610</v>
      </c>
    </row>
    <row r="5376" spans="3:12">
      <c r="C5376">
        <v>2100300025</v>
      </c>
      <c r="D5376">
        <v>6426000</v>
      </c>
      <c r="E5376" t="s">
        <v>188</v>
      </c>
      <c r="F5376">
        <v>5104010104</v>
      </c>
      <c r="G5376">
        <v>495</v>
      </c>
      <c r="I5376" t="s">
        <v>156</v>
      </c>
      <c r="J5376" t="s">
        <v>900</v>
      </c>
      <c r="K5376" t="s">
        <v>69</v>
      </c>
      <c r="L5376">
        <v>3300009718</v>
      </c>
    </row>
    <row r="5377" spans="3:12">
      <c r="C5377">
        <v>2100300025</v>
      </c>
      <c r="D5377">
        <v>6426000</v>
      </c>
      <c r="E5377" t="s">
        <v>188</v>
      </c>
      <c r="F5377">
        <v>5104010104</v>
      </c>
      <c r="G5377">
        <v>920</v>
      </c>
      <c r="I5377" t="s">
        <v>156</v>
      </c>
      <c r="J5377" t="s">
        <v>900</v>
      </c>
      <c r="K5377" t="s">
        <v>69</v>
      </c>
      <c r="L5377">
        <v>3300009719</v>
      </c>
    </row>
    <row r="5378" spans="3:12">
      <c r="C5378">
        <v>2100300025</v>
      </c>
      <c r="D5378">
        <v>6426000</v>
      </c>
      <c r="E5378" t="s">
        <v>188</v>
      </c>
      <c r="F5378">
        <v>5104010104</v>
      </c>
      <c r="G5378" s="13">
        <v>2725</v>
      </c>
      <c r="I5378" t="s">
        <v>156</v>
      </c>
      <c r="J5378" t="s">
        <v>872</v>
      </c>
      <c r="K5378" t="s">
        <v>69</v>
      </c>
      <c r="L5378">
        <v>3300019853</v>
      </c>
    </row>
    <row r="5379" spans="3:12">
      <c r="C5379">
        <v>2100300025</v>
      </c>
      <c r="D5379">
        <v>6426000</v>
      </c>
      <c r="E5379" t="s">
        <v>188</v>
      </c>
      <c r="F5379">
        <v>5104010104</v>
      </c>
      <c r="G5379" s="13">
        <v>2782</v>
      </c>
      <c r="I5379" t="s">
        <v>156</v>
      </c>
      <c r="J5379" t="s">
        <v>872</v>
      </c>
      <c r="K5379" t="s">
        <v>69</v>
      </c>
      <c r="L5379">
        <v>3300020070</v>
      </c>
    </row>
    <row r="5380" spans="3:12">
      <c r="C5380">
        <v>2100300025</v>
      </c>
      <c r="D5380">
        <v>6426000</v>
      </c>
      <c r="E5380" t="s">
        <v>188</v>
      </c>
      <c r="F5380">
        <v>5104010104</v>
      </c>
      <c r="G5380" s="13">
        <v>1323</v>
      </c>
      <c r="I5380" t="s">
        <v>156</v>
      </c>
      <c r="J5380" t="s">
        <v>872</v>
      </c>
      <c r="K5380" t="s">
        <v>69</v>
      </c>
      <c r="L5380">
        <v>3300019854</v>
      </c>
    </row>
    <row r="5381" spans="3:12">
      <c r="C5381">
        <v>2100300025</v>
      </c>
      <c r="D5381">
        <v>6426000</v>
      </c>
      <c r="E5381" t="s">
        <v>188</v>
      </c>
      <c r="F5381">
        <v>5104010104</v>
      </c>
      <c r="G5381" s="13">
        <v>4100</v>
      </c>
      <c r="I5381" t="s">
        <v>156</v>
      </c>
      <c r="J5381" t="s">
        <v>872</v>
      </c>
      <c r="K5381" t="s">
        <v>69</v>
      </c>
      <c r="L5381">
        <v>3300020073</v>
      </c>
    </row>
    <row r="5382" spans="3:12">
      <c r="C5382">
        <v>2100300025</v>
      </c>
      <c r="D5382">
        <v>6426000</v>
      </c>
      <c r="E5382" t="s">
        <v>188</v>
      </c>
      <c r="F5382">
        <v>5104010104</v>
      </c>
      <c r="G5382" s="13">
        <v>4000</v>
      </c>
      <c r="I5382" t="s">
        <v>156</v>
      </c>
      <c r="J5382" t="s">
        <v>910</v>
      </c>
      <c r="K5382" t="s">
        <v>69</v>
      </c>
      <c r="L5382">
        <v>3300018480</v>
      </c>
    </row>
    <row r="5383" spans="3:12">
      <c r="C5383">
        <v>2100300025</v>
      </c>
      <c r="D5383">
        <v>6426000</v>
      </c>
      <c r="E5383" t="s">
        <v>188</v>
      </c>
      <c r="F5383">
        <v>5104010104</v>
      </c>
      <c r="G5383">
        <v>495</v>
      </c>
      <c r="I5383" t="s">
        <v>156</v>
      </c>
      <c r="J5383" t="s">
        <v>822</v>
      </c>
      <c r="K5383" t="s">
        <v>69</v>
      </c>
      <c r="L5383">
        <v>3300016735</v>
      </c>
    </row>
    <row r="5384" spans="3:12">
      <c r="C5384">
        <v>2100300025</v>
      </c>
      <c r="D5384">
        <v>6426000</v>
      </c>
      <c r="E5384" t="s">
        <v>188</v>
      </c>
      <c r="F5384">
        <v>5104010104</v>
      </c>
      <c r="G5384" s="13">
        <v>1355</v>
      </c>
      <c r="I5384" t="s">
        <v>156</v>
      </c>
      <c r="J5384" t="s">
        <v>822</v>
      </c>
      <c r="K5384" t="s">
        <v>69</v>
      </c>
      <c r="L5384">
        <v>3300016980</v>
      </c>
    </row>
    <row r="5385" spans="3:12">
      <c r="C5385">
        <v>2100300025</v>
      </c>
      <c r="D5385">
        <v>6426000</v>
      </c>
      <c r="E5385" t="s">
        <v>188</v>
      </c>
      <c r="F5385">
        <v>5104010104</v>
      </c>
      <c r="G5385" s="13">
        <v>3740</v>
      </c>
      <c r="I5385" t="s">
        <v>156</v>
      </c>
      <c r="J5385" t="s">
        <v>822</v>
      </c>
      <c r="K5385" t="s">
        <v>69</v>
      </c>
      <c r="L5385">
        <v>3300017067</v>
      </c>
    </row>
    <row r="5386" spans="3:12">
      <c r="C5386">
        <v>2100300025</v>
      </c>
      <c r="D5386">
        <v>6426000</v>
      </c>
      <c r="E5386" t="s">
        <v>188</v>
      </c>
      <c r="F5386">
        <v>5104010104</v>
      </c>
      <c r="G5386" s="13">
        <v>3500</v>
      </c>
      <c r="I5386" t="s">
        <v>156</v>
      </c>
      <c r="J5386" t="s">
        <v>916</v>
      </c>
      <c r="K5386" t="s">
        <v>69</v>
      </c>
      <c r="L5386">
        <v>3300023100</v>
      </c>
    </row>
    <row r="5387" spans="3:12">
      <c r="C5387">
        <v>2100300025</v>
      </c>
      <c r="D5387">
        <v>6426000</v>
      </c>
      <c r="E5387" t="s">
        <v>188</v>
      </c>
      <c r="F5387">
        <v>5104010104</v>
      </c>
      <c r="G5387" s="13">
        <v>1200</v>
      </c>
      <c r="I5387" t="s">
        <v>156</v>
      </c>
      <c r="J5387" t="s">
        <v>830</v>
      </c>
      <c r="K5387" t="s">
        <v>69</v>
      </c>
      <c r="L5387">
        <v>3300028536</v>
      </c>
    </row>
    <row r="5388" spans="3:12">
      <c r="C5388">
        <v>2100300025</v>
      </c>
      <c r="D5388">
        <v>6426000</v>
      </c>
      <c r="E5388" t="s">
        <v>188</v>
      </c>
      <c r="F5388">
        <v>5104010104</v>
      </c>
      <c r="G5388" s="13">
        <v>2785</v>
      </c>
      <c r="I5388" t="s">
        <v>156</v>
      </c>
      <c r="J5388" t="s">
        <v>830</v>
      </c>
      <c r="K5388" t="s">
        <v>69</v>
      </c>
      <c r="L5388">
        <v>3300028537</v>
      </c>
    </row>
    <row r="5389" spans="3:12">
      <c r="C5389">
        <v>2100300025</v>
      </c>
      <c r="D5389">
        <v>6426000</v>
      </c>
      <c r="E5389" t="s">
        <v>188</v>
      </c>
      <c r="F5389">
        <v>5104010104</v>
      </c>
      <c r="G5389" s="13">
        <v>4515</v>
      </c>
      <c r="I5389" t="s">
        <v>156</v>
      </c>
      <c r="J5389" t="s">
        <v>830</v>
      </c>
      <c r="K5389" t="s">
        <v>69</v>
      </c>
      <c r="L5389">
        <v>3300028539</v>
      </c>
    </row>
    <row r="5390" spans="3:12">
      <c r="C5390">
        <v>2100300025</v>
      </c>
      <c r="D5390">
        <v>6426000</v>
      </c>
      <c r="E5390" t="s">
        <v>188</v>
      </c>
      <c r="F5390">
        <v>5104010104</v>
      </c>
      <c r="G5390" s="13">
        <v>4080</v>
      </c>
      <c r="I5390" t="s">
        <v>156</v>
      </c>
      <c r="J5390" t="s">
        <v>830</v>
      </c>
      <c r="K5390" t="s">
        <v>69</v>
      </c>
      <c r="L5390">
        <v>3300028131</v>
      </c>
    </row>
    <row r="5391" spans="3:12">
      <c r="C5391">
        <v>2100300025</v>
      </c>
      <c r="D5391">
        <v>6426000</v>
      </c>
      <c r="E5391" t="s">
        <v>188</v>
      </c>
      <c r="F5391">
        <v>5104010104</v>
      </c>
      <c r="G5391" s="13">
        <v>1850</v>
      </c>
      <c r="I5391" t="s">
        <v>156</v>
      </c>
      <c r="J5391" t="s">
        <v>925</v>
      </c>
      <c r="K5391" t="s">
        <v>69</v>
      </c>
      <c r="L5391">
        <v>3300032007</v>
      </c>
    </row>
    <row r="5392" spans="3:12">
      <c r="C5392">
        <v>2100300025</v>
      </c>
      <c r="D5392">
        <v>6426000</v>
      </c>
      <c r="E5392" t="s">
        <v>188</v>
      </c>
      <c r="F5392">
        <v>5104010104</v>
      </c>
      <c r="G5392">
        <v>850</v>
      </c>
      <c r="I5392" t="s">
        <v>156</v>
      </c>
      <c r="J5392" t="s">
        <v>925</v>
      </c>
      <c r="K5392" t="s">
        <v>69</v>
      </c>
      <c r="L5392">
        <v>3300031810</v>
      </c>
    </row>
    <row r="5393" spans="3:12">
      <c r="C5393">
        <v>2100300025</v>
      </c>
      <c r="D5393">
        <v>6426000</v>
      </c>
      <c r="E5393" t="s">
        <v>188</v>
      </c>
      <c r="F5393">
        <v>5104010104</v>
      </c>
      <c r="G5393" s="13">
        <v>3390</v>
      </c>
      <c r="I5393" t="s">
        <v>156</v>
      </c>
      <c r="J5393" t="s">
        <v>931</v>
      </c>
      <c r="K5393" t="s">
        <v>69</v>
      </c>
      <c r="L5393">
        <v>3300035677</v>
      </c>
    </row>
    <row r="5394" spans="3:12">
      <c r="C5394">
        <v>2100300025</v>
      </c>
      <c r="D5394">
        <v>6426000</v>
      </c>
      <c r="E5394" t="s">
        <v>188</v>
      </c>
      <c r="F5394">
        <v>5104010104</v>
      </c>
      <c r="G5394" s="13">
        <v>2605</v>
      </c>
      <c r="I5394" t="s">
        <v>156</v>
      </c>
      <c r="J5394" t="s">
        <v>932</v>
      </c>
      <c r="K5394" t="s">
        <v>69</v>
      </c>
      <c r="L5394">
        <v>3300037323</v>
      </c>
    </row>
    <row r="5395" spans="3:12">
      <c r="C5395">
        <v>2100300025</v>
      </c>
      <c r="D5395">
        <v>6426000</v>
      </c>
      <c r="E5395" t="s">
        <v>188</v>
      </c>
      <c r="F5395">
        <v>5104010104</v>
      </c>
      <c r="G5395" s="13">
        <v>3175</v>
      </c>
      <c r="I5395" t="s">
        <v>156</v>
      </c>
      <c r="J5395" t="s">
        <v>934</v>
      </c>
      <c r="K5395" t="s">
        <v>69</v>
      </c>
      <c r="L5395">
        <v>3300041204</v>
      </c>
    </row>
    <row r="5396" spans="3:12">
      <c r="C5396">
        <v>2100300025</v>
      </c>
      <c r="D5396">
        <v>6426000</v>
      </c>
      <c r="E5396" t="s">
        <v>188</v>
      </c>
      <c r="F5396">
        <v>5104010104</v>
      </c>
      <c r="G5396" s="13">
        <v>2850</v>
      </c>
      <c r="I5396" t="s">
        <v>156</v>
      </c>
      <c r="J5396" t="s">
        <v>836</v>
      </c>
      <c r="K5396" t="s">
        <v>69</v>
      </c>
      <c r="L5396">
        <v>3300036987</v>
      </c>
    </row>
    <row r="5397" spans="3:12">
      <c r="C5397">
        <v>2100300025</v>
      </c>
      <c r="D5397">
        <v>6426000</v>
      </c>
      <c r="E5397" t="s">
        <v>188</v>
      </c>
      <c r="F5397">
        <v>5104010104</v>
      </c>
      <c r="G5397" s="13">
        <v>2675</v>
      </c>
      <c r="I5397" t="s">
        <v>156</v>
      </c>
      <c r="J5397" t="s">
        <v>837</v>
      </c>
      <c r="K5397" t="s">
        <v>69</v>
      </c>
      <c r="L5397">
        <v>3300036172</v>
      </c>
    </row>
    <row r="5398" spans="3:12">
      <c r="C5398">
        <v>2100300025</v>
      </c>
      <c r="D5398">
        <v>6426000</v>
      </c>
      <c r="E5398" t="s">
        <v>188</v>
      </c>
      <c r="F5398">
        <v>5104010104</v>
      </c>
      <c r="G5398" s="13">
        <v>2800</v>
      </c>
      <c r="I5398" t="s">
        <v>156</v>
      </c>
      <c r="J5398" t="s">
        <v>837</v>
      </c>
      <c r="K5398" t="s">
        <v>69</v>
      </c>
      <c r="L5398">
        <v>3300036173</v>
      </c>
    </row>
    <row r="5399" spans="3:12">
      <c r="C5399">
        <v>2100300025</v>
      </c>
      <c r="D5399">
        <v>6426000</v>
      </c>
      <c r="E5399" t="s">
        <v>188</v>
      </c>
      <c r="F5399">
        <v>5104010104</v>
      </c>
      <c r="G5399" s="13">
        <v>2060</v>
      </c>
      <c r="I5399" t="s">
        <v>156</v>
      </c>
      <c r="J5399" t="s">
        <v>837</v>
      </c>
      <c r="K5399" t="s">
        <v>69</v>
      </c>
      <c r="L5399">
        <v>3300036174</v>
      </c>
    </row>
    <row r="5400" spans="3:12">
      <c r="C5400">
        <v>2100300025</v>
      </c>
      <c r="D5400">
        <v>6426000</v>
      </c>
      <c r="E5400" t="s">
        <v>188</v>
      </c>
      <c r="F5400">
        <v>5104010104</v>
      </c>
      <c r="G5400" s="13">
        <v>1460</v>
      </c>
      <c r="I5400" t="s">
        <v>156</v>
      </c>
      <c r="J5400" t="s">
        <v>837</v>
      </c>
      <c r="K5400" t="s">
        <v>69</v>
      </c>
      <c r="L5400">
        <v>3300036175</v>
      </c>
    </row>
    <row r="5401" spans="3:12">
      <c r="C5401">
        <v>2100300025</v>
      </c>
      <c r="D5401">
        <v>6426000</v>
      </c>
      <c r="E5401" t="s">
        <v>188</v>
      </c>
      <c r="F5401">
        <v>5104010104</v>
      </c>
      <c r="G5401" s="13">
        <v>4615</v>
      </c>
      <c r="I5401" t="s">
        <v>156</v>
      </c>
      <c r="J5401" t="s">
        <v>837</v>
      </c>
      <c r="K5401" t="s">
        <v>69</v>
      </c>
      <c r="L5401">
        <v>3300036057</v>
      </c>
    </row>
    <row r="5402" spans="3:12">
      <c r="C5402">
        <v>2100300025</v>
      </c>
      <c r="D5402">
        <v>6426000</v>
      </c>
      <c r="E5402" t="s">
        <v>188</v>
      </c>
      <c r="F5402">
        <v>5104010104</v>
      </c>
      <c r="G5402" s="13">
        <v>2053</v>
      </c>
      <c r="I5402" t="s">
        <v>156</v>
      </c>
      <c r="J5402" t="s">
        <v>837</v>
      </c>
      <c r="K5402" t="s">
        <v>69</v>
      </c>
      <c r="L5402">
        <v>3300036026</v>
      </c>
    </row>
    <row r="5403" spans="3:12">
      <c r="C5403">
        <v>2100300025</v>
      </c>
      <c r="D5403">
        <v>6426000</v>
      </c>
      <c r="E5403" t="s">
        <v>188</v>
      </c>
      <c r="F5403">
        <v>5104010104</v>
      </c>
      <c r="G5403" s="13">
        <v>2929</v>
      </c>
      <c r="I5403" t="s">
        <v>156</v>
      </c>
      <c r="J5403" t="s">
        <v>937</v>
      </c>
      <c r="K5403" t="s">
        <v>69</v>
      </c>
      <c r="L5403">
        <v>3300037399</v>
      </c>
    </row>
    <row r="5404" spans="3:12">
      <c r="C5404">
        <v>2100300025</v>
      </c>
      <c r="D5404">
        <v>6426000</v>
      </c>
      <c r="E5404" t="s">
        <v>188</v>
      </c>
      <c r="F5404">
        <v>5104010104</v>
      </c>
      <c r="G5404" s="13">
        <v>4350</v>
      </c>
      <c r="I5404" t="s">
        <v>156</v>
      </c>
      <c r="J5404" t="s">
        <v>937</v>
      </c>
      <c r="K5404" t="s">
        <v>69</v>
      </c>
      <c r="L5404">
        <v>3300039646</v>
      </c>
    </row>
    <row r="5405" spans="3:12">
      <c r="C5405">
        <v>2100300025</v>
      </c>
      <c r="D5405">
        <v>6426000</v>
      </c>
      <c r="E5405" t="s">
        <v>188</v>
      </c>
      <c r="F5405">
        <v>5104010104</v>
      </c>
      <c r="G5405" s="13">
        <v>1500</v>
      </c>
      <c r="I5405" t="s">
        <v>156</v>
      </c>
      <c r="J5405" t="s">
        <v>937</v>
      </c>
      <c r="K5405" t="s">
        <v>69</v>
      </c>
      <c r="L5405">
        <v>3300036596</v>
      </c>
    </row>
    <row r="5406" spans="3:12">
      <c r="C5406">
        <v>2100300025</v>
      </c>
      <c r="D5406">
        <v>6426000</v>
      </c>
      <c r="E5406" t="s">
        <v>188</v>
      </c>
      <c r="F5406">
        <v>5104010104</v>
      </c>
      <c r="G5406" s="13">
        <v>2400</v>
      </c>
      <c r="I5406" t="s">
        <v>156</v>
      </c>
      <c r="J5406" t="s">
        <v>939</v>
      </c>
      <c r="K5406" t="s">
        <v>69</v>
      </c>
      <c r="L5406">
        <v>3300043554</v>
      </c>
    </row>
    <row r="5407" spans="3:12">
      <c r="C5407">
        <v>2100300025</v>
      </c>
      <c r="D5407">
        <v>6426000</v>
      </c>
      <c r="E5407" t="s">
        <v>188</v>
      </c>
      <c r="F5407">
        <v>5104010104</v>
      </c>
      <c r="G5407" s="13">
        <v>1075</v>
      </c>
      <c r="I5407" t="s">
        <v>156</v>
      </c>
      <c r="J5407" t="s">
        <v>939</v>
      </c>
      <c r="K5407" t="s">
        <v>69</v>
      </c>
      <c r="L5407">
        <v>3300042053</v>
      </c>
    </row>
    <row r="5408" spans="3:12">
      <c r="C5408">
        <v>2100300025</v>
      </c>
      <c r="D5408">
        <v>6426000</v>
      </c>
      <c r="E5408" t="s">
        <v>188</v>
      </c>
      <c r="F5408">
        <v>5104010104</v>
      </c>
      <c r="G5408" s="13">
        <v>2760</v>
      </c>
      <c r="I5408" t="s">
        <v>156</v>
      </c>
      <c r="J5408" t="s">
        <v>939</v>
      </c>
      <c r="K5408" t="s">
        <v>69</v>
      </c>
      <c r="L5408">
        <v>3300042874</v>
      </c>
    </row>
    <row r="5409" spans="3:12">
      <c r="C5409">
        <v>2100300025</v>
      </c>
      <c r="D5409">
        <v>6426000</v>
      </c>
      <c r="E5409" t="s">
        <v>188</v>
      </c>
      <c r="F5409">
        <v>5104010104</v>
      </c>
      <c r="G5409" s="13">
        <v>1636</v>
      </c>
      <c r="I5409" t="s">
        <v>156</v>
      </c>
      <c r="J5409" t="s">
        <v>939</v>
      </c>
      <c r="K5409" t="s">
        <v>69</v>
      </c>
      <c r="L5409">
        <v>3300041239</v>
      </c>
    </row>
    <row r="5410" spans="3:12">
      <c r="C5410">
        <v>2100300025</v>
      </c>
      <c r="D5410">
        <v>6426000</v>
      </c>
      <c r="E5410" t="s">
        <v>188</v>
      </c>
      <c r="F5410">
        <v>5104010104</v>
      </c>
      <c r="G5410" s="13">
        <v>1960</v>
      </c>
      <c r="I5410" t="s">
        <v>156</v>
      </c>
      <c r="J5410" t="s">
        <v>941</v>
      </c>
      <c r="K5410" t="s">
        <v>69</v>
      </c>
      <c r="L5410">
        <v>3300043358</v>
      </c>
    </row>
    <row r="5411" spans="3:12">
      <c r="C5411">
        <v>2100300025</v>
      </c>
      <c r="D5411">
        <v>6426000</v>
      </c>
      <c r="E5411" t="s">
        <v>188</v>
      </c>
      <c r="F5411">
        <v>5104010104</v>
      </c>
      <c r="G5411" s="13">
        <v>2700</v>
      </c>
      <c r="I5411" t="s">
        <v>156</v>
      </c>
      <c r="J5411" t="s">
        <v>941</v>
      </c>
      <c r="K5411" t="s">
        <v>69</v>
      </c>
      <c r="L5411">
        <v>3300044272</v>
      </c>
    </row>
    <row r="5412" spans="3:12">
      <c r="C5412">
        <v>2100300025</v>
      </c>
      <c r="D5412">
        <v>6426000</v>
      </c>
      <c r="E5412" t="s">
        <v>188</v>
      </c>
      <c r="F5412">
        <v>5104010104</v>
      </c>
      <c r="G5412" s="13">
        <v>3210</v>
      </c>
      <c r="I5412" t="s">
        <v>156</v>
      </c>
      <c r="J5412" t="s">
        <v>941</v>
      </c>
      <c r="K5412" t="s">
        <v>69</v>
      </c>
      <c r="L5412">
        <v>3300041254</v>
      </c>
    </row>
    <row r="5413" spans="3:12">
      <c r="C5413">
        <v>2100300025</v>
      </c>
      <c r="D5413">
        <v>6426000</v>
      </c>
      <c r="E5413" t="s">
        <v>188</v>
      </c>
      <c r="F5413">
        <v>5104010104</v>
      </c>
      <c r="G5413" s="13">
        <v>1915</v>
      </c>
      <c r="I5413" t="s">
        <v>156</v>
      </c>
      <c r="J5413" t="s">
        <v>843</v>
      </c>
      <c r="K5413" t="s">
        <v>69</v>
      </c>
      <c r="L5413">
        <v>3300046237</v>
      </c>
    </row>
    <row r="5414" spans="3:12">
      <c r="C5414">
        <v>2100300025</v>
      </c>
      <c r="D5414">
        <v>6426000</v>
      </c>
      <c r="E5414" t="s">
        <v>188</v>
      </c>
      <c r="F5414">
        <v>5104010104</v>
      </c>
      <c r="G5414">
        <v>400</v>
      </c>
      <c r="I5414" t="s">
        <v>156</v>
      </c>
      <c r="J5414" t="s">
        <v>843</v>
      </c>
      <c r="K5414" t="s">
        <v>69</v>
      </c>
      <c r="L5414">
        <v>3300041050</v>
      </c>
    </row>
    <row r="5415" spans="3:12">
      <c r="C5415">
        <v>2100300025</v>
      </c>
      <c r="D5415">
        <v>6426000</v>
      </c>
      <c r="E5415" t="s">
        <v>188</v>
      </c>
      <c r="F5415">
        <v>5104010104</v>
      </c>
      <c r="G5415" s="13">
        <v>1500</v>
      </c>
      <c r="I5415" t="s">
        <v>156</v>
      </c>
      <c r="J5415" t="s">
        <v>561</v>
      </c>
      <c r="K5415" t="s">
        <v>69</v>
      </c>
      <c r="L5415">
        <v>3300044938</v>
      </c>
    </row>
    <row r="5416" spans="3:12">
      <c r="C5416">
        <v>2100300025</v>
      </c>
      <c r="D5416">
        <v>6426000</v>
      </c>
      <c r="E5416" t="s">
        <v>188</v>
      </c>
      <c r="F5416">
        <v>5104010104</v>
      </c>
      <c r="G5416" s="13">
        <v>4600</v>
      </c>
      <c r="I5416" t="s">
        <v>156</v>
      </c>
      <c r="J5416" t="s">
        <v>559</v>
      </c>
      <c r="K5416" t="s">
        <v>69</v>
      </c>
      <c r="L5416">
        <v>3300052634</v>
      </c>
    </row>
    <row r="5417" spans="3:12">
      <c r="C5417">
        <v>2100300025</v>
      </c>
      <c r="D5417">
        <v>6426000</v>
      </c>
      <c r="E5417" t="s">
        <v>188</v>
      </c>
      <c r="F5417">
        <v>5104010104</v>
      </c>
      <c r="G5417" s="13">
        <v>1190</v>
      </c>
      <c r="I5417" t="s">
        <v>156</v>
      </c>
      <c r="J5417" t="s">
        <v>952</v>
      </c>
      <c r="K5417" t="s">
        <v>69</v>
      </c>
      <c r="L5417">
        <v>3300051182</v>
      </c>
    </row>
    <row r="5418" spans="3:12">
      <c r="C5418">
        <v>2100300025</v>
      </c>
      <c r="D5418">
        <v>6426000</v>
      </c>
      <c r="E5418" t="s">
        <v>188</v>
      </c>
      <c r="F5418">
        <v>5104010104</v>
      </c>
      <c r="G5418" s="13">
        <v>3715</v>
      </c>
      <c r="I5418" t="s">
        <v>156</v>
      </c>
      <c r="J5418" t="s">
        <v>952</v>
      </c>
      <c r="K5418" t="s">
        <v>69</v>
      </c>
      <c r="L5418">
        <v>3300051664</v>
      </c>
    </row>
    <row r="5419" spans="3:12">
      <c r="C5419">
        <v>2100300025</v>
      </c>
      <c r="D5419">
        <v>6426000</v>
      </c>
      <c r="E5419" t="s">
        <v>188</v>
      </c>
      <c r="F5419">
        <v>5104010104</v>
      </c>
      <c r="G5419">
        <v>850</v>
      </c>
      <c r="I5419" t="s">
        <v>156</v>
      </c>
      <c r="J5419" t="s">
        <v>952</v>
      </c>
      <c r="K5419" t="s">
        <v>69</v>
      </c>
      <c r="L5419">
        <v>3300051183</v>
      </c>
    </row>
    <row r="5420" spans="3:12">
      <c r="C5420">
        <v>2100300025</v>
      </c>
      <c r="D5420">
        <v>6426000</v>
      </c>
      <c r="E5420" t="s">
        <v>188</v>
      </c>
      <c r="F5420">
        <v>5104010104</v>
      </c>
      <c r="G5420">
        <v>920</v>
      </c>
      <c r="I5420" t="s">
        <v>156</v>
      </c>
      <c r="J5420" t="s">
        <v>954</v>
      </c>
      <c r="K5420" t="s">
        <v>69</v>
      </c>
      <c r="L5420">
        <v>3300050686</v>
      </c>
    </row>
    <row r="5421" spans="3:12">
      <c r="C5421">
        <v>2100300025</v>
      </c>
      <c r="D5421">
        <v>6426000</v>
      </c>
      <c r="E5421" t="s">
        <v>188</v>
      </c>
      <c r="F5421">
        <v>5104010104</v>
      </c>
      <c r="G5421" s="13">
        <v>1251</v>
      </c>
      <c r="I5421" t="s">
        <v>156</v>
      </c>
      <c r="J5421" t="s">
        <v>956</v>
      </c>
      <c r="K5421" t="s">
        <v>69</v>
      </c>
      <c r="L5421">
        <v>3300053619</v>
      </c>
    </row>
    <row r="5422" spans="3:12">
      <c r="C5422">
        <v>2100300025</v>
      </c>
      <c r="D5422">
        <v>6426000</v>
      </c>
      <c r="E5422" t="s">
        <v>188</v>
      </c>
      <c r="F5422">
        <v>5104010104</v>
      </c>
      <c r="G5422" s="13">
        <v>2760</v>
      </c>
      <c r="I5422" t="s">
        <v>156</v>
      </c>
      <c r="J5422" t="s">
        <v>958</v>
      </c>
      <c r="K5422" t="s">
        <v>69</v>
      </c>
      <c r="L5422">
        <v>3300059130</v>
      </c>
    </row>
    <row r="5423" spans="3:12">
      <c r="C5423">
        <v>2100300025</v>
      </c>
      <c r="D5423">
        <v>6426000</v>
      </c>
      <c r="E5423" t="s">
        <v>188</v>
      </c>
      <c r="F5423">
        <v>5104010104</v>
      </c>
      <c r="G5423" s="13">
        <v>1725</v>
      </c>
      <c r="I5423" t="s">
        <v>156</v>
      </c>
      <c r="J5423" t="s">
        <v>962</v>
      </c>
      <c r="K5423" t="s">
        <v>69</v>
      </c>
      <c r="L5423">
        <v>3300062153</v>
      </c>
    </row>
    <row r="5424" spans="3:12">
      <c r="C5424">
        <v>2100300025</v>
      </c>
      <c r="D5424">
        <v>6426000</v>
      </c>
      <c r="E5424" t="s">
        <v>188</v>
      </c>
      <c r="F5424">
        <v>5104010104</v>
      </c>
      <c r="G5424">
        <v>800</v>
      </c>
      <c r="I5424" t="s">
        <v>156</v>
      </c>
      <c r="J5424" t="s">
        <v>853</v>
      </c>
      <c r="K5424" t="s">
        <v>69</v>
      </c>
      <c r="L5424">
        <v>3300057620</v>
      </c>
    </row>
    <row r="5425" spans="3:12">
      <c r="C5425">
        <v>2100300025</v>
      </c>
      <c r="D5425">
        <v>6426000</v>
      </c>
      <c r="E5425" t="s">
        <v>188</v>
      </c>
      <c r="F5425">
        <v>5104010104</v>
      </c>
      <c r="G5425" s="13">
        <v>1950</v>
      </c>
      <c r="I5425" t="s">
        <v>156</v>
      </c>
      <c r="J5425" t="s">
        <v>855</v>
      </c>
      <c r="K5425" t="s">
        <v>69</v>
      </c>
      <c r="L5425">
        <v>3300056564</v>
      </c>
    </row>
    <row r="5426" spans="3:12">
      <c r="C5426">
        <v>2100300025</v>
      </c>
      <c r="D5426">
        <v>6426000</v>
      </c>
      <c r="E5426" t="s">
        <v>188</v>
      </c>
      <c r="F5426">
        <v>5104010104</v>
      </c>
      <c r="G5426">
        <v>780</v>
      </c>
      <c r="I5426" t="s">
        <v>156</v>
      </c>
      <c r="J5426" t="s">
        <v>859</v>
      </c>
      <c r="K5426" t="s">
        <v>69</v>
      </c>
      <c r="L5426">
        <v>3300063762</v>
      </c>
    </row>
    <row r="5427" spans="3:12">
      <c r="C5427">
        <v>2100300025</v>
      </c>
      <c r="D5427">
        <v>6426000</v>
      </c>
      <c r="E5427" t="s">
        <v>188</v>
      </c>
      <c r="F5427">
        <v>5104010104</v>
      </c>
      <c r="G5427" s="13">
        <v>4800</v>
      </c>
      <c r="I5427" t="s">
        <v>156</v>
      </c>
      <c r="J5427" t="s">
        <v>977</v>
      </c>
      <c r="K5427" t="s">
        <v>69</v>
      </c>
      <c r="L5427">
        <v>3300068114</v>
      </c>
    </row>
    <row r="5428" spans="3:12">
      <c r="C5428">
        <v>2100300025</v>
      </c>
      <c r="D5428">
        <v>6426000</v>
      </c>
      <c r="E5428" t="s">
        <v>188</v>
      </c>
      <c r="F5428">
        <v>5104010104</v>
      </c>
      <c r="G5428" s="13">
        <v>1500</v>
      </c>
      <c r="I5428" t="s">
        <v>156</v>
      </c>
      <c r="J5428" t="s">
        <v>980</v>
      </c>
      <c r="K5428" t="s">
        <v>69</v>
      </c>
      <c r="L5428">
        <v>3300076626</v>
      </c>
    </row>
    <row r="5429" spans="3:12">
      <c r="C5429">
        <v>2100300025</v>
      </c>
      <c r="D5429">
        <v>6426000</v>
      </c>
      <c r="E5429" t="s">
        <v>188</v>
      </c>
      <c r="F5429">
        <v>5104010104</v>
      </c>
      <c r="G5429" s="13">
        <v>4800</v>
      </c>
      <c r="I5429" t="s">
        <v>156</v>
      </c>
      <c r="J5429" t="s">
        <v>980</v>
      </c>
      <c r="K5429" t="s">
        <v>69</v>
      </c>
      <c r="L5429">
        <v>3300071596</v>
      </c>
    </row>
    <row r="5430" spans="3:12">
      <c r="C5430">
        <v>2100300025</v>
      </c>
      <c r="D5430">
        <v>6426000</v>
      </c>
      <c r="E5430" t="s">
        <v>188</v>
      </c>
      <c r="F5430">
        <v>5104010104</v>
      </c>
      <c r="G5430" s="13">
        <v>3638</v>
      </c>
      <c r="I5430" t="s">
        <v>156</v>
      </c>
      <c r="J5430" t="s">
        <v>979</v>
      </c>
      <c r="K5430" t="s">
        <v>69</v>
      </c>
      <c r="L5430">
        <v>3300071151</v>
      </c>
    </row>
    <row r="5431" spans="3:12">
      <c r="C5431">
        <v>2100300025</v>
      </c>
      <c r="D5431">
        <v>6426000</v>
      </c>
      <c r="E5431" t="s">
        <v>188</v>
      </c>
      <c r="F5431">
        <v>5104010104</v>
      </c>
      <c r="G5431" s="13">
        <v>2160</v>
      </c>
      <c r="I5431" t="s">
        <v>156</v>
      </c>
      <c r="J5431" t="s">
        <v>978</v>
      </c>
      <c r="K5431" t="s">
        <v>69</v>
      </c>
      <c r="L5431">
        <v>3300078579</v>
      </c>
    </row>
    <row r="5432" spans="3:12">
      <c r="C5432">
        <v>2100300025</v>
      </c>
      <c r="D5432">
        <v>6426000</v>
      </c>
      <c r="E5432" t="s">
        <v>188</v>
      </c>
      <c r="F5432">
        <v>5104010104</v>
      </c>
      <c r="G5432" s="13">
        <v>3000</v>
      </c>
      <c r="I5432" t="s">
        <v>156</v>
      </c>
      <c r="J5432" t="s">
        <v>978</v>
      </c>
      <c r="K5432" t="s">
        <v>69</v>
      </c>
      <c r="L5432">
        <v>3300078862</v>
      </c>
    </row>
    <row r="5433" spans="3:12">
      <c r="C5433">
        <v>2100300025</v>
      </c>
      <c r="D5433">
        <v>6426000</v>
      </c>
      <c r="E5433" t="s">
        <v>188</v>
      </c>
      <c r="F5433">
        <v>5104010104</v>
      </c>
      <c r="G5433" s="13">
        <v>1750</v>
      </c>
      <c r="I5433" t="s">
        <v>156</v>
      </c>
      <c r="J5433" t="s">
        <v>862</v>
      </c>
      <c r="K5433" t="s">
        <v>69</v>
      </c>
      <c r="L5433">
        <v>3300070723</v>
      </c>
    </row>
    <row r="5434" spans="3:12">
      <c r="C5434">
        <v>2100300025</v>
      </c>
      <c r="D5434">
        <v>6426000</v>
      </c>
      <c r="E5434" t="s">
        <v>188</v>
      </c>
      <c r="F5434">
        <v>5104010104</v>
      </c>
      <c r="G5434" s="13">
        <v>2300</v>
      </c>
      <c r="I5434" t="s">
        <v>156</v>
      </c>
      <c r="J5434" t="s">
        <v>862</v>
      </c>
      <c r="K5434" t="s">
        <v>69</v>
      </c>
      <c r="L5434">
        <v>3300070643</v>
      </c>
    </row>
    <row r="5435" spans="3:12">
      <c r="C5435">
        <v>2100300025</v>
      </c>
      <c r="D5435">
        <v>6426000</v>
      </c>
      <c r="E5435" t="s">
        <v>188</v>
      </c>
      <c r="F5435">
        <v>5104010104</v>
      </c>
      <c r="G5435">
        <v>400</v>
      </c>
      <c r="I5435" t="s">
        <v>156</v>
      </c>
      <c r="J5435" t="s">
        <v>962</v>
      </c>
      <c r="K5435" t="s">
        <v>69</v>
      </c>
      <c r="L5435">
        <v>3300062312</v>
      </c>
    </row>
    <row r="5436" spans="3:12">
      <c r="C5436">
        <v>2100300025</v>
      </c>
      <c r="D5436">
        <v>6426000</v>
      </c>
      <c r="E5436" t="s">
        <v>188</v>
      </c>
      <c r="F5436">
        <v>5104010104</v>
      </c>
      <c r="G5436">
        <v>300</v>
      </c>
      <c r="I5436" t="s">
        <v>156</v>
      </c>
      <c r="J5436" t="s">
        <v>859</v>
      </c>
      <c r="K5436" t="s">
        <v>69</v>
      </c>
      <c r="L5436">
        <v>3300061532</v>
      </c>
    </row>
    <row r="5437" spans="3:12">
      <c r="C5437">
        <v>2100300025</v>
      </c>
      <c r="D5437">
        <v>6426000</v>
      </c>
      <c r="E5437" t="s">
        <v>188</v>
      </c>
      <c r="F5437">
        <v>5104010104</v>
      </c>
      <c r="G5437" s="13">
        <v>3925</v>
      </c>
      <c r="I5437" t="s">
        <v>156</v>
      </c>
      <c r="J5437" t="s">
        <v>859</v>
      </c>
      <c r="K5437" t="s">
        <v>69</v>
      </c>
      <c r="L5437">
        <v>3300063929</v>
      </c>
    </row>
    <row r="5438" spans="3:12">
      <c r="C5438">
        <v>2100300025</v>
      </c>
      <c r="D5438">
        <v>6426000</v>
      </c>
      <c r="E5438" t="s">
        <v>188</v>
      </c>
      <c r="F5438">
        <v>5104010104</v>
      </c>
      <c r="G5438" s="13">
        <v>3500</v>
      </c>
      <c r="I5438" t="s">
        <v>156</v>
      </c>
      <c r="J5438" t="s">
        <v>979</v>
      </c>
      <c r="K5438" t="s">
        <v>69</v>
      </c>
      <c r="L5438">
        <v>3300072641</v>
      </c>
    </row>
    <row r="5439" spans="3:12">
      <c r="C5439">
        <v>2100300025</v>
      </c>
      <c r="D5439">
        <v>6426000</v>
      </c>
      <c r="E5439" t="s">
        <v>188</v>
      </c>
      <c r="F5439">
        <v>5104010104</v>
      </c>
      <c r="G5439" s="13">
        <v>2615</v>
      </c>
      <c r="I5439" t="s">
        <v>156</v>
      </c>
      <c r="J5439" t="s">
        <v>862</v>
      </c>
      <c r="K5439" t="s">
        <v>69</v>
      </c>
      <c r="L5439">
        <v>3300069325</v>
      </c>
    </row>
    <row r="5440" spans="3:12">
      <c r="C5440">
        <v>2100300025</v>
      </c>
      <c r="D5440">
        <v>6426000</v>
      </c>
      <c r="E5440" t="s">
        <v>188</v>
      </c>
      <c r="F5440">
        <v>5104010104</v>
      </c>
      <c r="G5440" s="13">
        <v>1350</v>
      </c>
      <c r="I5440" t="s">
        <v>156</v>
      </c>
      <c r="J5440" t="s">
        <v>982</v>
      </c>
      <c r="K5440" t="s">
        <v>69</v>
      </c>
      <c r="L5440">
        <v>3300074967</v>
      </c>
    </row>
    <row r="5441" spans="3:12">
      <c r="C5441">
        <v>2100300025</v>
      </c>
      <c r="D5441">
        <v>6426000</v>
      </c>
      <c r="E5441" t="s">
        <v>188</v>
      </c>
      <c r="F5441">
        <v>5104010104</v>
      </c>
      <c r="G5441" s="13">
        <v>4785</v>
      </c>
      <c r="I5441" t="s">
        <v>156</v>
      </c>
      <c r="J5441" t="s">
        <v>982</v>
      </c>
      <c r="K5441" t="s">
        <v>69</v>
      </c>
      <c r="L5441">
        <v>3300074968</v>
      </c>
    </row>
    <row r="5442" spans="3:12">
      <c r="C5442">
        <v>2100300025</v>
      </c>
      <c r="D5442">
        <v>6426000</v>
      </c>
      <c r="E5442" t="s">
        <v>188</v>
      </c>
      <c r="F5442">
        <v>5104010104</v>
      </c>
      <c r="G5442" s="13">
        <v>1750</v>
      </c>
      <c r="I5442" t="s">
        <v>156</v>
      </c>
      <c r="J5442" t="s">
        <v>561</v>
      </c>
      <c r="K5442" t="s">
        <v>69</v>
      </c>
      <c r="L5442">
        <v>3300042073</v>
      </c>
    </row>
    <row r="5443" spans="3:12">
      <c r="C5443">
        <v>2100300025</v>
      </c>
      <c r="D5443">
        <v>6426000</v>
      </c>
      <c r="E5443" t="s">
        <v>188</v>
      </c>
      <c r="F5443">
        <v>5104010104</v>
      </c>
      <c r="G5443" s="13">
        <v>4950</v>
      </c>
      <c r="I5443" t="s">
        <v>156</v>
      </c>
      <c r="J5443" t="s">
        <v>559</v>
      </c>
      <c r="K5443" t="s">
        <v>69</v>
      </c>
      <c r="L5443">
        <v>3300053508</v>
      </c>
    </row>
    <row r="5444" spans="3:12">
      <c r="C5444">
        <v>2100300025</v>
      </c>
      <c r="D5444">
        <v>6426000</v>
      </c>
      <c r="E5444" t="s">
        <v>188</v>
      </c>
      <c r="F5444">
        <v>5104010104</v>
      </c>
      <c r="G5444">
        <v>250</v>
      </c>
      <c r="I5444" t="s">
        <v>156</v>
      </c>
      <c r="J5444" t="s">
        <v>948</v>
      </c>
      <c r="K5444" t="s">
        <v>69</v>
      </c>
      <c r="L5444">
        <v>3300036609</v>
      </c>
    </row>
    <row r="5445" spans="3:12">
      <c r="C5445">
        <v>2100300025</v>
      </c>
      <c r="D5445">
        <v>6426000</v>
      </c>
      <c r="E5445" t="s">
        <v>188</v>
      </c>
      <c r="F5445">
        <v>5104010104</v>
      </c>
      <c r="G5445">
        <v>500</v>
      </c>
      <c r="I5445" t="s">
        <v>156</v>
      </c>
      <c r="J5445" t="s">
        <v>948</v>
      </c>
      <c r="K5445" t="s">
        <v>69</v>
      </c>
      <c r="L5445">
        <v>3300037214</v>
      </c>
    </row>
    <row r="5446" spans="3:12">
      <c r="C5446">
        <v>2100300025</v>
      </c>
      <c r="D5446">
        <v>6426000</v>
      </c>
      <c r="E5446" t="s">
        <v>188</v>
      </c>
      <c r="F5446">
        <v>5104010104</v>
      </c>
      <c r="G5446" s="13">
        <v>3411</v>
      </c>
      <c r="I5446" t="s">
        <v>156</v>
      </c>
      <c r="J5446" t="s">
        <v>948</v>
      </c>
      <c r="K5446" t="s">
        <v>69</v>
      </c>
      <c r="L5446">
        <v>3300048927</v>
      </c>
    </row>
    <row r="5447" spans="3:12">
      <c r="C5447">
        <v>2100300025</v>
      </c>
      <c r="D5447">
        <v>6426000</v>
      </c>
      <c r="E5447" t="s">
        <v>188</v>
      </c>
      <c r="F5447">
        <v>5104010104</v>
      </c>
      <c r="G5447" s="13">
        <v>2992</v>
      </c>
      <c r="I5447" t="s">
        <v>156</v>
      </c>
      <c r="J5447" t="s">
        <v>948</v>
      </c>
      <c r="K5447" t="s">
        <v>69</v>
      </c>
      <c r="L5447">
        <v>3300049201</v>
      </c>
    </row>
    <row r="5448" spans="3:12">
      <c r="C5448">
        <v>2100300025</v>
      </c>
      <c r="D5448">
        <v>6426000</v>
      </c>
      <c r="E5448" t="s">
        <v>188</v>
      </c>
      <c r="F5448">
        <v>5104010104</v>
      </c>
      <c r="G5448" s="13">
        <v>1965</v>
      </c>
      <c r="I5448" t="s">
        <v>156</v>
      </c>
      <c r="J5448" t="s">
        <v>951</v>
      </c>
      <c r="K5448" t="s">
        <v>69</v>
      </c>
      <c r="L5448">
        <v>3300053010</v>
      </c>
    </row>
    <row r="5449" spans="3:12">
      <c r="C5449">
        <v>2100300025</v>
      </c>
      <c r="D5449">
        <v>6426000</v>
      </c>
      <c r="E5449" t="s">
        <v>188</v>
      </c>
      <c r="F5449">
        <v>5104010104</v>
      </c>
      <c r="G5449" s="13">
        <v>1892</v>
      </c>
      <c r="I5449" t="s">
        <v>156</v>
      </c>
      <c r="J5449" t="s">
        <v>951</v>
      </c>
      <c r="K5449" t="s">
        <v>69</v>
      </c>
      <c r="L5449">
        <v>3300053011</v>
      </c>
    </row>
    <row r="5450" spans="3:12">
      <c r="C5450">
        <v>2100300025</v>
      </c>
      <c r="D5450">
        <v>6426000</v>
      </c>
      <c r="E5450" t="s">
        <v>188</v>
      </c>
      <c r="F5450">
        <v>5104010104</v>
      </c>
      <c r="G5450" s="13">
        <v>2400</v>
      </c>
      <c r="I5450" t="s">
        <v>156</v>
      </c>
      <c r="J5450" t="s">
        <v>846</v>
      </c>
      <c r="K5450" t="s">
        <v>69</v>
      </c>
      <c r="L5450">
        <v>3300055633</v>
      </c>
    </row>
    <row r="5451" spans="3:12">
      <c r="C5451">
        <v>2100300025</v>
      </c>
      <c r="D5451">
        <v>6426000</v>
      </c>
      <c r="E5451" t="s">
        <v>188</v>
      </c>
      <c r="F5451">
        <v>5104010104</v>
      </c>
      <c r="G5451" s="13">
        <v>3000</v>
      </c>
      <c r="I5451" t="s">
        <v>156</v>
      </c>
      <c r="J5451" t="s">
        <v>846</v>
      </c>
      <c r="K5451" t="s">
        <v>69</v>
      </c>
      <c r="L5451">
        <v>3300055590</v>
      </c>
    </row>
    <row r="5452" spans="3:12">
      <c r="C5452">
        <v>2100300025</v>
      </c>
      <c r="D5452">
        <v>6426000</v>
      </c>
      <c r="E5452" t="s">
        <v>188</v>
      </c>
      <c r="F5452">
        <v>5104010104</v>
      </c>
      <c r="G5452" s="13">
        <v>4900</v>
      </c>
      <c r="I5452" t="s">
        <v>156</v>
      </c>
      <c r="J5452" t="s">
        <v>848</v>
      </c>
      <c r="K5452" t="s">
        <v>69</v>
      </c>
      <c r="L5452">
        <v>3300052856</v>
      </c>
    </row>
    <row r="5453" spans="3:12">
      <c r="C5453">
        <v>2100300025</v>
      </c>
      <c r="D5453">
        <v>6426000</v>
      </c>
      <c r="E5453" t="s">
        <v>188</v>
      </c>
      <c r="F5453">
        <v>5104010104</v>
      </c>
      <c r="G5453">
        <v>630</v>
      </c>
      <c r="I5453" t="s">
        <v>156</v>
      </c>
      <c r="J5453" t="s">
        <v>848</v>
      </c>
      <c r="K5453" t="s">
        <v>69</v>
      </c>
      <c r="L5453">
        <v>3300055447</v>
      </c>
    </row>
    <row r="5454" spans="3:12">
      <c r="C5454">
        <v>2100300025</v>
      </c>
      <c r="D5454">
        <v>6426000</v>
      </c>
      <c r="E5454" t="s">
        <v>188</v>
      </c>
      <c r="F5454">
        <v>5104010104</v>
      </c>
      <c r="G5454" s="13">
        <v>1200</v>
      </c>
      <c r="I5454" t="s">
        <v>156</v>
      </c>
      <c r="J5454" t="s">
        <v>848</v>
      </c>
      <c r="K5454" t="s">
        <v>69</v>
      </c>
      <c r="L5454">
        <v>3300055127</v>
      </c>
    </row>
    <row r="5455" spans="3:12">
      <c r="C5455">
        <v>2100300025</v>
      </c>
      <c r="D5455">
        <v>6426000</v>
      </c>
      <c r="E5455" t="s">
        <v>188</v>
      </c>
      <c r="F5455">
        <v>5104010104</v>
      </c>
      <c r="G5455" s="13">
        <v>4333.5</v>
      </c>
      <c r="I5455" t="s">
        <v>156</v>
      </c>
      <c r="J5455" t="s">
        <v>848</v>
      </c>
      <c r="K5455" t="s">
        <v>69</v>
      </c>
      <c r="L5455">
        <v>3300055449</v>
      </c>
    </row>
    <row r="5456" spans="3:12">
      <c r="C5456">
        <v>2100300025</v>
      </c>
      <c r="D5456">
        <v>6426000</v>
      </c>
      <c r="E5456" t="s">
        <v>188</v>
      </c>
      <c r="F5456">
        <v>5104010104</v>
      </c>
      <c r="G5456" s="13">
        <v>2575</v>
      </c>
      <c r="I5456" t="s">
        <v>156</v>
      </c>
      <c r="J5456" t="s">
        <v>956</v>
      </c>
      <c r="K5456" t="s">
        <v>69</v>
      </c>
      <c r="L5456">
        <v>3300053535</v>
      </c>
    </row>
    <row r="5457" spans="3:12">
      <c r="C5457">
        <v>2100300025</v>
      </c>
      <c r="D5457">
        <v>6426000</v>
      </c>
      <c r="E5457" t="s">
        <v>188</v>
      </c>
      <c r="F5457">
        <v>5104010104</v>
      </c>
      <c r="G5457" s="13">
        <v>1650</v>
      </c>
      <c r="I5457" t="s">
        <v>156</v>
      </c>
      <c r="J5457" t="s">
        <v>956</v>
      </c>
      <c r="K5457" t="s">
        <v>69</v>
      </c>
      <c r="L5457">
        <v>3300053427</v>
      </c>
    </row>
    <row r="5458" spans="3:12">
      <c r="C5458">
        <v>2100300025</v>
      </c>
      <c r="D5458">
        <v>6426000</v>
      </c>
      <c r="E5458" t="s">
        <v>188</v>
      </c>
      <c r="F5458">
        <v>5104010104</v>
      </c>
      <c r="G5458">
        <v>260</v>
      </c>
      <c r="I5458" t="s">
        <v>156</v>
      </c>
      <c r="J5458" t="s">
        <v>958</v>
      </c>
      <c r="K5458" t="s">
        <v>69</v>
      </c>
      <c r="L5458">
        <v>3300059129</v>
      </c>
    </row>
    <row r="5459" spans="3:12">
      <c r="C5459">
        <v>2100300025</v>
      </c>
      <c r="D5459">
        <v>6426000</v>
      </c>
      <c r="E5459" t="s">
        <v>188</v>
      </c>
      <c r="F5459">
        <v>5104010104</v>
      </c>
      <c r="G5459" s="13">
        <v>1839</v>
      </c>
      <c r="I5459" t="s">
        <v>156</v>
      </c>
      <c r="J5459" t="s">
        <v>958</v>
      </c>
      <c r="K5459" t="s">
        <v>69</v>
      </c>
      <c r="L5459">
        <v>3300058070</v>
      </c>
    </row>
    <row r="5460" spans="3:12">
      <c r="C5460">
        <v>2100300025</v>
      </c>
      <c r="D5460">
        <v>6426000</v>
      </c>
      <c r="E5460" t="s">
        <v>188</v>
      </c>
      <c r="F5460">
        <v>5104010104</v>
      </c>
      <c r="G5460" s="13">
        <v>3054</v>
      </c>
      <c r="I5460" t="s">
        <v>156</v>
      </c>
      <c r="J5460" t="s">
        <v>959</v>
      </c>
      <c r="K5460" t="s">
        <v>69</v>
      </c>
      <c r="L5460">
        <v>3300056148</v>
      </c>
    </row>
    <row r="5461" spans="3:12">
      <c r="C5461">
        <v>2100300025</v>
      </c>
      <c r="D5461">
        <v>6426000</v>
      </c>
      <c r="E5461" t="s">
        <v>188</v>
      </c>
      <c r="F5461">
        <v>5104010104</v>
      </c>
      <c r="G5461" s="13">
        <v>2905</v>
      </c>
      <c r="I5461" t="s">
        <v>156</v>
      </c>
      <c r="J5461" t="s">
        <v>962</v>
      </c>
      <c r="K5461" t="s">
        <v>69</v>
      </c>
      <c r="L5461">
        <v>3300062162</v>
      </c>
    </row>
    <row r="5462" spans="3:12">
      <c r="C5462">
        <v>2100300025</v>
      </c>
      <c r="D5462">
        <v>6426000</v>
      </c>
      <c r="E5462" t="s">
        <v>188</v>
      </c>
      <c r="F5462">
        <v>5104010104</v>
      </c>
      <c r="G5462" s="13">
        <v>3662.5</v>
      </c>
      <c r="I5462" t="s">
        <v>156</v>
      </c>
      <c r="J5462" t="s">
        <v>962</v>
      </c>
      <c r="K5462" t="s">
        <v>69</v>
      </c>
      <c r="L5462">
        <v>3300061504</v>
      </c>
    </row>
    <row r="5463" spans="3:12">
      <c r="C5463">
        <v>2100300025</v>
      </c>
      <c r="D5463">
        <v>6426000</v>
      </c>
      <c r="E5463" t="s">
        <v>188</v>
      </c>
      <c r="F5463">
        <v>5104010104</v>
      </c>
      <c r="G5463" s="13">
        <v>2030</v>
      </c>
      <c r="I5463" t="s">
        <v>156</v>
      </c>
      <c r="J5463" t="s">
        <v>962</v>
      </c>
      <c r="K5463" t="s">
        <v>69</v>
      </c>
      <c r="L5463">
        <v>3300062313</v>
      </c>
    </row>
    <row r="5464" spans="3:12">
      <c r="C5464">
        <v>2100300025</v>
      </c>
      <c r="D5464">
        <v>6426000</v>
      </c>
      <c r="E5464" t="s">
        <v>188</v>
      </c>
      <c r="F5464">
        <v>5104010104</v>
      </c>
      <c r="G5464" s="13">
        <v>1605</v>
      </c>
      <c r="I5464" t="s">
        <v>156</v>
      </c>
      <c r="J5464" t="s">
        <v>855</v>
      </c>
      <c r="K5464" t="s">
        <v>69</v>
      </c>
      <c r="L5464">
        <v>3300056869</v>
      </c>
    </row>
    <row r="5465" spans="3:12">
      <c r="C5465">
        <v>2100300025</v>
      </c>
      <c r="D5465">
        <v>6426000</v>
      </c>
      <c r="E5465" t="s">
        <v>188</v>
      </c>
      <c r="F5465">
        <v>5104010104</v>
      </c>
      <c r="G5465" s="13">
        <v>4460</v>
      </c>
      <c r="I5465" t="s">
        <v>156</v>
      </c>
      <c r="J5465" t="s">
        <v>855</v>
      </c>
      <c r="K5465" t="s">
        <v>69</v>
      </c>
      <c r="L5465">
        <v>3300056870</v>
      </c>
    </row>
    <row r="5466" spans="3:12">
      <c r="C5466">
        <v>2100300025</v>
      </c>
      <c r="D5466">
        <v>6426000</v>
      </c>
      <c r="E5466" t="s">
        <v>188</v>
      </c>
      <c r="F5466">
        <v>5104010104</v>
      </c>
      <c r="G5466" s="13">
        <v>3015</v>
      </c>
      <c r="I5466" t="s">
        <v>156</v>
      </c>
      <c r="J5466" t="s">
        <v>969</v>
      </c>
      <c r="K5466" t="s">
        <v>69</v>
      </c>
      <c r="L5466">
        <v>3300067328</v>
      </c>
    </row>
    <row r="5467" spans="3:12">
      <c r="C5467">
        <v>2100300025</v>
      </c>
      <c r="D5467">
        <v>6426000</v>
      </c>
      <c r="E5467" t="s">
        <v>188</v>
      </c>
      <c r="F5467">
        <v>5104010104</v>
      </c>
      <c r="G5467">
        <v>700</v>
      </c>
      <c r="I5467" t="s">
        <v>156</v>
      </c>
      <c r="J5467" t="s">
        <v>857</v>
      </c>
      <c r="K5467" t="s">
        <v>69</v>
      </c>
      <c r="L5467">
        <v>3300061542</v>
      </c>
    </row>
    <row r="5468" spans="3:12">
      <c r="C5468">
        <v>2100300025</v>
      </c>
      <c r="D5468">
        <v>6426000</v>
      </c>
      <c r="E5468" t="s">
        <v>188</v>
      </c>
      <c r="F5468">
        <v>5104010104</v>
      </c>
      <c r="G5468" s="13">
        <v>1990</v>
      </c>
      <c r="I5468" t="s">
        <v>156</v>
      </c>
      <c r="J5468" t="s">
        <v>857</v>
      </c>
      <c r="K5468" t="s">
        <v>69</v>
      </c>
      <c r="L5468">
        <v>3300063959</v>
      </c>
    </row>
    <row r="5469" spans="3:12">
      <c r="C5469">
        <v>2100300025</v>
      </c>
      <c r="D5469">
        <v>6426000</v>
      </c>
      <c r="E5469" t="s">
        <v>188</v>
      </c>
      <c r="F5469">
        <v>5104010104</v>
      </c>
      <c r="G5469" s="13">
        <v>4753</v>
      </c>
      <c r="I5469" t="s">
        <v>156</v>
      </c>
      <c r="J5469" t="s">
        <v>857</v>
      </c>
      <c r="K5469" t="s">
        <v>69</v>
      </c>
      <c r="L5469">
        <v>3300064414</v>
      </c>
    </row>
    <row r="5470" spans="3:12">
      <c r="C5470">
        <v>2100300025</v>
      </c>
      <c r="D5470">
        <v>6426000</v>
      </c>
      <c r="E5470" t="s">
        <v>188</v>
      </c>
      <c r="F5470">
        <v>5104010104</v>
      </c>
      <c r="G5470" s="13">
        <v>1325</v>
      </c>
      <c r="I5470" t="s">
        <v>156</v>
      </c>
      <c r="J5470" t="s">
        <v>970</v>
      </c>
      <c r="K5470" t="s">
        <v>69</v>
      </c>
      <c r="L5470">
        <v>3300066507</v>
      </c>
    </row>
    <row r="5471" spans="3:12">
      <c r="C5471">
        <v>2100300025</v>
      </c>
      <c r="D5471">
        <v>6426000</v>
      </c>
      <c r="E5471" t="s">
        <v>188</v>
      </c>
      <c r="F5471">
        <v>5104010104</v>
      </c>
      <c r="G5471" s="13">
        <v>1390</v>
      </c>
      <c r="I5471" t="s">
        <v>156</v>
      </c>
      <c r="J5471" t="s">
        <v>859</v>
      </c>
      <c r="K5471" t="s">
        <v>69</v>
      </c>
      <c r="L5471">
        <v>3300063761</v>
      </c>
    </row>
    <row r="5472" spans="3:12">
      <c r="C5472">
        <v>2100300025</v>
      </c>
      <c r="D5472">
        <v>6426000</v>
      </c>
      <c r="E5472" t="s">
        <v>188</v>
      </c>
      <c r="F5472">
        <v>5104010104</v>
      </c>
      <c r="G5472" s="13">
        <v>2887</v>
      </c>
      <c r="I5472" t="s">
        <v>156</v>
      </c>
      <c r="J5472" t="s">
        <v>859</v>
      </c>
      <c r="K5472" t="s">
        <v>69</v>
      </c>
      <c r="L5472">
        <v>3300061533</v>
      </c>
    </row>
    <row r="5473" spans="3:12">
      <c r="C5473">
        <v>2100300025</v>
      </c>
      <c r="D5473">
        <v>6426000</v>
      </c>
      <c r="E5473" t="s">
        <v>188</v>
      </c>
      <c r="F5473">
        <v>5104010104</v>
      </c>
      <c r="G5473" s="13">
        <v>1400</v>
      </c>
      <c r="I5473" t="s">
        <v>156</v>
      </c>
      <c r="J5473" t="s">
        <v>973</v>
      </c>
      <c r="K5473" t="s">
        <v>69</v>
      </c>
      <c r="L5473">
        <v>3300068731</v>
      </c>
    </row>
    <row r="5474" spans="3:12">
      <c r="C5474">
        <v>2100300025</v>
      </c>
      <c r="D5474">
        <v>6426000</v>
      </c>
      <c r="E5474" t="s">
        <v>188</v>
      </c>
      <c r="F5474">
        <v>5104010104</v>
      </c>
      <c r="G5474" s="13">
        <v>1775</v>
      </c>
      <c r="I5474" t="s">
        <v>156</v>
      </c>
      <c r="J5474" t="s">
        <v>974</v>
      </c>
      <c r="K5474" t="s">
        <v>69</v>
      </c>
      <c r="L5474">
        <v>3300068291</v>
      </c>
    </row>
    <row r="5475" spans="3:12">
      <c r="C5475">
        <v>2100300025</v>
      </c>
      <c r="D5475">
        <v>6426000</v>
      </c>
      <c r="E5475" t="s">
        <v>188</v>
      </c>
      <c r="F5475">
        <v>5104010104</v>
      </c>
      <c r="G5475" s="13">
        <v>3771</v>
      </c>
      <c r="I5475" t="s">
        <v>156</v>
      </c>
      <c r="J5475" t="s">
        <v>979</v>
      </c>
      <c r="K5475" t="s">
        <v>69</v>
      </c>
      <c r="L5475">
        <v>3300073583</v>
      </c>
    </row>
    <row r="5476" spans="3:12">
      <c r="C5476">
        <v>2100300025</v>
      </c>
      <c r="D5476">
        <v>6426000</v>
      </c>
      <c r="E5476" t="s">
        <v>188</v>
      </c>
      <c r="F5476">
        <v>5104010104</v>
      </c>
      <c r="G5476" s="13">
        <v>1896</v>
      </c>
      <c r="I5476" t="s">
        <v>156</v>
      </c>
      <c r="J5476" t="s">
        <v>979</v>
      </c>
      <c r="K5476" t="s">
        <v>69</v>
      </c>
      <c r="L5476">
        <v>3300073274</v>
      </c>
    </row>
    <row r="5477" spans="3:12">
      <c r="C5477">
        <v>2100300025</v>
      </c>
      <c r="D5477">
        <v>6426000</v>
      </c>
      <c r="E5477" t="s">
        <v>188</v>
      </c>
      <c r="F5477">
        <v>5104010104</v>
      </c>
      <c r="G5477" s="13">
        <v>2134</v>
      </c>
      <c r="I5477" t="s">
        <v>156</v>
      </c>
      <c r="J5477" t="s">
        <v>979</v>
      </c>
      <c r="K5477" t="s">
        <v>69</v>
      </c>
      <c r="L5477">
        <v>3300061784</v>
      </c>
    </row>
    <row r="5478" spans="3:12">
      <c r="C5478">
        <v>2100300025</v>
      </c>
      <c r="D5478">
        <v>6426000</v>
      </c>
      <c r="E5478" t="s">
        <v>188</v>
      </c>
      <c r="F5478">
        <v>5104010104</v>
      </c>
      <c r="G5478" s="13">
        <v>2140</v>
      </c>
      <c r="I5478" t="s">
        <v>156</v>
      </c>
      <c r="J5478" t="s">
        <v>978</v>
      </c>
      <c r="K5478" t="s">
        <v>69</v>
      </c>
      <c r="L5478">
        <v>3300079421</v>
      </c>
    </row>
    <row r="5479" spans="3:12">
      <c r="C5479">
        <v>2100300025</v>
      </c>
      <c r="D5479">
        <v>6426000</v>
      </c>
      <c r="E5479" t="s">
        <v>188</v>
      </c>
      <c r="F5479">
        <v>5104010104</v>
      </c>
      <c r="G5479" s="13">
        <v>2795</v>
      </c>
      <c r="I5479" t="s">
        <v>156</v>
      </c>
      <c r="J5479" t="s">
        <v>862</v>
      </c>
      <c r="K5479" t="s">
        <v>69</v>
      </c>
      <c r="L5479">
        <v>3300070913</v>
      </c>
    </row>
    <row r="5480" spans="3:12">
      <c r="C5480">
        <v>2100300025</v>
      </c>
      <c r="D5480">
        <v>6426000</v>
      </c>
      <c r="E5480" t="s">
        <v>188</v>
      </c>
      <c r="F5480">
        <v>5104010104</v>
      </c>
      <c r="G5480" s="13">
        <v>2190</v>
      </c>
      <c r="I5480" t="s">
        <v>156</v>
      </c>
      <c r="J5480" t="s">
        <v>982</v>
      </c>
      <c r="K5480" t="s">
        <v>69</v>
      </c>
      <c r="L5480">
        <v>3300072019</v>
      </c>
    </row>
    <row r="5481" spans="3:12">
      <c r="C5481">
        <v>2100300025</v>
      </c>
      <c r="D5481">
        <v>6426000</v>
      </c>
      <c r="E5481" t="s">
        <v>188</v>
      </c>
      <c r="F5481">
        <v>5104010104</v>
      </c>
      <c r="G5481">
        <v>375</v>
      </c>
      <c r="I5481" t="s">
        <v>156</v>
      </c>
      <c r="J5481" t="s">
        <v>982</v>
      </c>
      <c r="K5481" t="s">
        <v>69</v>
      </c>
      <c r="L5481">
        <v>3300073100</v>
      </c>
    </row>
    <row r="5482" spans="3:12">
      <c r="C5482">
        <v>2100300025</v>
      </c>
      <c r="D5482">
        <v>6426000</v>
      </c>
      <c r="E5482" t="s">
        <v>188</v>
      </c>
      <c r="F5482">
        <v>5104010104</v>
      </c>
      <c r="G5482" s="13">
        <v>1870</v>
      </c>
      <c r="I5482" t="s">
        <v>156</v>
      </c>
      <c r="J5482" t="s">
        <v>865</v>
      </c>
      <c r="K5482" t="s">
        <v>69</v>
      </c>
      <c r="L5482">
        <v>3300075420</v>
      </c>
    </row>
    <row r="5483" spans="3:12">
      <c r="C5483">
        <v>2100300025</v>
      </c>
      <c r="D5483">
        <v>6426000</v>
      </c>
      <c r="E5483" t="s">
        <v>188</v>
      </c>
      <c r="F5483">
        <v>5104010104</v>
      </c>
      <c r="G5483" s="13">
        <v>4750</v>
      </c>
      <c r="I5483" t="s">
        <v>156</v>
      </c>
      <c r="J5483" t="s">
        <v>984</v>
      </c>
      <c r="K5483" t="s">
        <v>69</v>
      </c>
      <c r="L5483">
        <v>3300078402</v>
      </c>
    </row>
    <row r="5484" spans="3:12">
      <c r="C5484">
        <v>2100300025</v>
      </c>
      <c r="D5484">
        <v>6426000</v>
      </c>
      <c r="E5484" t="s">
        <v>188</v>
      </c>
      <c r="F5484">
        <v>5104010104</v>
      </c>
      <c r="G5484">
        <v>790</v>
      </c>
      <c r="I5484" t="s">
        <v>156</v>
      </c>
      <c r="J5484" t="s">
        <v>985</v>
      </c>
      <c r="K5484" t="s">
        <v>69</v>
      </c>
      <c r="L5484">
        <v>3300077363</v>
      </c>
    </row>
    <row r="5485" spans="3:12">
      <c r="C5485">
        <v>2100300025</v>
      </c>
      <c r="D5485">
        <v>6426000</v>
      </c>
      <c r="E5485" t="s">
        <v>188</v>
      </c>
      <c r="F5485">
        <v>5104010107</v>
      </c>
      <c r="G5485" s="13">
        <v>3800</v>
      </c>
      <c r="I5485" t="s">
        <v>156</v>
      </c>
      <c r="J5485" t="s">
        <v>837</v>
      </c>
      <c r="K5485" t="s">
        <v>154</v>
      </c>
      <c r="L5485">
        <v>3300036179</v>
      </c>
    </row>
    <row r="5486" spans="3:12">
      <c r="C5486">
        <v>2100300025</v>
      </c>
      <c r="D5486">
        <v>6426000</v>
      </c>
      <c r="E5486" t="s">
        <v>188</v>
      </c>
      <c r="F5486">
        <v>5104010107</v>
      </c>
      <c r="G5486">
        <v>900</v>
      </c>
      <c r="I5486" t="s">
        <v>156</v>
      </c>
      <c r="J5486" t="s">
        <v>837</v>
      </c>
      <c r="K5486" t="s">
        <v>154</v>
      </c>
      <c r="L5486">
        <v>3300036180</v>
      </c>
    </row>
    <row r="5487" spans="3:12">
      <c r="C5487">
        <v>2100300025</v>
      </c>
      <c r="D5487">
        <v>6426000</v>
      </c>
      <c r="E5487" t="s">
        <v>188</v>
      </c>
      <c r="F5487">
        <v>5104010107</v>
      </c>
      <c r="G5487" s="13">
        <v>1840</v>
      </c>
      <c r="I5487" t="s">
        <v>156</v>
      </c>
      <c r="J5487" t="s">
        <v>814</v>
      </c>
      <c r="K5487" t="s">
        <v>154</v>
      </c>
      <c r="L5487">
        <v>3300008779</v>
      </c>
    </row>
    <row r="5488" spans="3:12">
      <c r="C5488">
        <v>2100300025</v>
      </c>
      <c r="D5488">
        <v>6426000</v>
      </c>
      <c r="E5488" t="s">
        <v>188</v>
      </c>
      <c r="F5488">
        <v>5104010107</v>
      </c>
      <c r="G5488" s="13">
        <v>3035</v>
      </c>
      <c r="I5488" t="s">
        <v>156</v>
      </c>
      <c r="J5488" t="s">
        <v>898</v>
      </c>
      <c r="K5488" t="s">
        <v>154</v>
      </c>
      <c r="L5488">
        <v>3300014264</v>
      </c>
    </row>
    <row r="5489" spans="3:12">
      <c r="C5489">
        <v>2100300025</v>
      </c>
      <c r="D5489">
        <v>6426000</v>
      </c>
      <c r="E5489" t="s">
        <v>188</v>
      </c>
      <c r="F5489">
        <v>5104010107</v>
      </c>
      <c r="G5489">
        <v>450</v>
      </c>
      <c r="I5489" t="s">
        <v>156</v>
      </c>
      <c r="J5489" t="s">
        <v>898</v>
      </c>
      <c r="K5489" t="s">
        <v>154</v>
      </c>
      <c r="L5489">
        <v>3300013820</v>
      </c>
    </row>
    <row r="5490" spans="3:12">
      <c r="C5490">
        <v>2100300025</v>
      </c>
      <c r="D5490">
        <v>6426000</v>
      </c>
      <c r="E5490" t="s">
        <v>188</v>
      </c>
      <c r="F5490">
        <v>5104010107</v>
      </c>
      <c r="G5490" s="13">
        <v>2500</v>
      </c>
      <c r="I5490" t="s">
        <v>156</v>
      </c>
      <c r="J5490" t="s">
        <v>822</v>
      </c>
      <c r="K5490" t="s">
        <v>154</v>
      </c>
      <c r="L5490">
        <v>3300017066</v>
      </c>
    </row>
    <row r="5491" spans="3:12">
      <c r="C5491">
        <v>2100300025</v>
      </c>
      <c r="D5491">
        <v>6426000</v>
      </c>
      <c r="E5491" t="s">
        <v>188</v>
      </c>
      <c r="F5491">
        <v>5104010107</v>
      </c>
      <c r="G5491" s="13">
        <v>1930</v>
      </c>
      <c r="I5491" t="s">
        <v>156</v>
      </c>
      <c r="J5491" t="s">
        <v>799</v>
      </c>
      <c r="K5491" t="s">
        <v>154</v>
      </c>
      <c r="L5491">
        <v>3300021147</v>
      </c>
    </row>
    <row r="5492" spans="3:12">
      <c r="C5492">
        <v>2100300025</v>
      </c>
      <c r="D5492">
        <v>6426000</v>
      </c>
      <c r="E5492" t="s">
        <v>188</v>
      </c>
      <c r="F5492">
        <v>5104010107</v>
      </c>
      <c r="G5492" s="13">
        <v>1600</v>
      </c>
      <c r="I5492" t="s">
        <v>156</v>
      </c>
      <c r="J5492" t="s">
        <v>923</v>
      </c>
      <c r="K5492" t="s">
        <v>154</v>
      </c>
      <c r="L5492">
        <v>3300032127</v>
      </c>
    </row>
    <row r="5493" spans="3:12">
      <c r="C5493">
        <v>2100300025</v>
      </c>
      <c r="D5493">
        <v>6426000</v>
      </c>
      <c r="E5493" t="s">
        <v>188</v>
      </c>
      <c r="F5493">
        <v>5104010107</v>
      </c>
      <c r="G5493" s="13">
        <v>2180</v>
      </c>
      <c r="I5493" t="s">
        <v>156</v>
      </c>
      <c r="J5493" t="s">
        <v>830</v>
      </c>
      <c r="K5493" t="s">
        <v>154</v>
      </c>
      <c r="L5493">
        <v>3300028351</v>
      </c>
    </row>
    <row r="5494" spans="3:12">
      <c r="C5494">
        <v>2100300025</v>
      </c>
      <c r="D5494">
        <v>6426000</v>
      </c>
      <c r="E5494" t="s">
        <v>188</v>
      </c>
      <c r="F5494">
        <v>5104010107</v>
      </c>
      <c r="G5494">
        <v>250</v>
      </c>
      <c r="I5494" t="s">
        <v>156</v>
      </c>
      <c r="J5494" t="s">
        <v>830</v>
      </c>
      <c r="K5494" t="s">
        <v>154</v>
      </c>
      <c r="L5494">
        <v>3300028540</v>
      </c>
    </row>
    <row r="5495" spans="3:12">
      <c r="C5495">
        <v>2100300025</v>
      </c>
      <c r="D5495">
        <v>6426000</v>
      </c>
      <c r="E5495" t="s">
        <v>188</v>
      </c>
      <c r="F5495">
        <v>5104010107</v>
      </c>
      <c r="G5495" s="13">
        <v>1200</v>
      </c>
      <c r="I5495" t="s">
        <v>156</v>
      </c>
      <c r="J5495" t="s">
        <v>933</v>
      </c>
      <c r="K5495" t="s">
        <v>154</v>
      </c>
      <c r="L5495">
        <v>3300038661</v>
      </c>
    </row>
    <row r="5496" spans="3:12">
      <c r="C5496">
        <v>2100300025</v>
      </c>
      <c r="D5496">
        <v>6426000</v>
      </c>
      <c r="E5496" t="s">
        <v>188</v>
      </c>
      <c r="F5496">
        <v>5104010107</v>
      </c>
      <c r="G5496" s="13">
        <v>1680</v>
      </c>
      <c r="I5496" t="s">
        <v>156</v>
      </c>
      <c r="J5496" t="s">
        <v>837</v>
      </c>
      <c r="K5496" t="s">
        <v>154</v>
      </c>
      <c r="L5496">
        <v>3300036171</v>
      </c>
    </row>
    <row r="5497" spans="3:12">
      <c r="C5497">
        <v>2100300025</v>
      </c>
      <c r="D5497">
        <v>6426000</v>
      </c>
      <c r="E5497" t="s">
        <v>188</v>
      </c>
      <c r="F5497">
        <v>5104010107</v>
      </c>
      <c r="G5497" s="13">
        <v>3000</v>
      </c>
      <c r="I5497" t="s">
        <v>156</v>
      </c>
      <c r="J5497" t="s">
        <v>837</v>
      </c>
      <c r="K5497" t="s">
        <v>154</v>
      </c>
      <c r="L5497">
        <v>3300036176</v>
      </c>
    </row>
    <row r="5498" spans="3:12">
      <c r="C5498">
        <v>2100300025</v>
      </c>
      <c r="D5498">
        <v>6426000</v>
      </c>
      <c r="E5498" t="s">
        <v>188</v>
      </c>
      <c r="F5498">
        <v>5104010107</v>
      </c>
      <c r="G5498" s="13">
        <v>1500</v>
      </c>
      <c r="I5498" t="s">
        <v>156</v>
      </c>
      <c r="J5498" t="s">
        <v>837</v>
      </c>
      <c r="K5498" t="s">
        <v>154</v>
      </c>
      <c r="L5498">
        <v>3300036129</v>
      </c>
    </row>
    <row r="5499" spans="3:12">
      <c r="C5499">
        <v>2100300025</v>
      </c>
      <c r="D5499">
        <v>6426000</v>
      </c>
      <c r="E5499" t="s">
        <v>188</v>
      </c>
      <c r="F5499">
        <v>5104010107</v>
      </c>
      <c r="G5499">
        <v>900</v>
      </c>
      <c r="I5499" t="s">
        <v>156</v>
      </c>
      <c r="J5499" t="s">
        <v>837</v>
      </c>
      <c r="K5499" t="s">
        <v>154</v>
      </c>
      <c r="L5499">
        <v>3300036133</v>
      </c>
    </row>
    <row r="5500" spans="3:12">
      <c r="C5500">
        <v>2100300025</v>
      </c>
      <c r="D5500">
        <v>6426000</v>
      </c>
      <c r="E5500" t="s">
        <v>188</v>
      </c>
      <c r="F5500">
        <v>5104010107</v>
      </c>
      <c r="G5500" s="13">
        <v>3300</v>
      </c>
      <c r="I5500" t="s">
        <v>156</v>
      </c>
      <c r="J5500" t="s">
        <v>837</v>
      </c>
      <c r="K5500" t="s">
        <v>154</v>
      </c>
      <c r="L5500">
        <v>3300036137</v>
      </c>
    </row>
    <row r="5501" spans="3:12">
      <c r="C5501">
        <v>2100300025</v>
      </c>
      <c r="D5501">
        <v>6426000</v>
      </c>
      <c r="E5501" t="s">
        <v>188</v>
      </c>
      <c r="F5501">
        <v>5104010107</v>
      </c>
      <c r="G5501" s="13">
        <v>3500</v>
      </c>
      <c r="I5501" t="s">
        <v>156</v>
      </c>
      <c r="J5501" t="s">
        <v>939</v>
      </c>
      <c r="K5501" t="s">
        <v>154</v>
      </c>
      <c r="L5501">
        <v>3300042051</v>
      </c>
    </row>
    <row r="5502" spans="3:12">
      <c r="C5502">
        <v>2100300025</v>
      </c>
      <c r="D5502">
        <v>6426000</v>
      </c>
      <c r="E5502" t="s">
        <v>188</v>
      </c>
      <c r="F5502">
        <v>5104010107</v>
      </c>
      <c r="G5502" s="13">
        <v>4675</v>
      </c>
      <c r="I5502" t="s">
        <v>156</v>
      </c>
      <c r="J5502" t="s">
        <v>970</v>
      </c>
      <c r="K5502" t="s">
        <v>154</v>
      </c>
      <c r="L5502">
        <v>3300066311</v>
      </c>
    </row>
    <row r="5503" spans="3:12">
      <c r="C5503">
        <v>2100300025</v>
      </c>
      <c r="D5503">
        <v>6426000</v>
      </c>
      <c r="E5503" t="s">
        <v>188</v>
      </c>
      <c r="F5503">
        <v>5104010107</v>
      </c>
      <c r="G5503" s="13">
        <v>1200</v>
      </c>
      <c r="I5503" t="s">
        <v>156</v>
      </c>
      <c r="J5503" t="s">
        <v>981</v>
      </c>
      <c r="K5503" t="s">
        <v>154</v>
      </c>
      <c r="L5503">
        <v>3300072615</v>
      </c>
    </row>
    <row r="5504" spans="3:12">
      <c r="C5504">
        <v>2100300025</v>
      </c>
      <c r="D5504">
        <v>6426000</v>
      </c>
      <c r="E5504" t="s">
        <v>188</v>
      </c>
      <c r="F5504">
        <v>5104010107</v>
      </c>
      <c r="G5504">
        <v>600</v>
      </c>
      <c r="I5504" t="s">
        <v>156</v>
      </c>
      <c r="J5504" t="s">
        <v>939</v>
      </c>
      <c r="K5504" t="s">
        <v>154</v>
      </c>
      <c r="L5504">
        <v>3300043084</v>
      </c>
    </row>
    <row r="5505" spans="3:12">
      <c r="C5505">
        <v>2100300025</v>
      </c>
      <c r="D5505">
        <v>6426000</v>
      </c>
      <c r="E5505" t="s">
        <v>188</v>
      </c>
      <c r="F5505">
        <v>5104010107</v>
      </c>
      <c r="G5505" s="13">
        <v>1444.5</v>
      </c>
      <c r="I5505" t="s">
        <v>156</v>
      </c>
      <c r="J5505" t="s">
        <v>890</v>
      </c>
      <c r="K5505" t="s">
        <v>154</v>
      </c>
      <c r="L5505">
        <v>3300006517</v>
      </c>
    </row>
    <row r="5506" spans="3:12">
      <c r="C5506">
        <v>2100300025</v>
      </c>
      <c r="D5506">
        <v>6426000</v>
      </c>
      <c r="E5506" t="s">
        <v>188</v>
      </c>
      <c r="F5506">
        <v>5104010107</v>
      </c>
      <c r="G5506">
        <v>500</v>
      </c>
      <c r="I5506" t="s">
        <v>156</v>
      </c>
      <c r="J5506" t="s">
        <v>890</v>
      </c>
      <c r="K5506" t="s">
        <v>154</v>
      </c>
      <c r="L5506">
        <v>3300006338</v>
      </c>
    </row>
    <row r="5507" spans="3:12">
      <c r="C5507">
        <v>2100300025</v>
      </c>
      <c r="D5507">
        <v>6426000</v>
      </c>
      <c r="E5507" t="s">
        <v>188</v>
      </c>
      <c r="F5507">
        <v>5104010107</v>
      </c>
      <c r="G5507" s="13">
        <v>3800</v>
      </c>
      <c r="I5507" t="s">
        <v>156</v>
      </c>
      <c r="J5507" t="s">
        <v>814</v>
      </c>
      <c r="K5507" t="s">
        <v>154</v>
      </c>
      <c r="L5507">
        <v>3300009395</v>
      </c>
    </row>
    <row r="5508" spans="3:12">
      <c r="C5508">
        <v>2100300025</v>
      </c>
      <c r="D5508">
        <v>6426000</v>
      </c>
      <c r="E5508" t="s">
        <v>188</v>
      </c>
      <c r="F5508">
        <v>5104010107</v>
      </c>
      <c r="G5508" s="13">
        <v>2300</v>
      </c>
      <c r="I5508" t="s">
        <v>156</v>
      </c>
      <c r="J5508" t="s">
        <v>814</v>
      </c>
      <c r="K5508" t="s">
        <v>154</v>
      </c>
      <c r="L5508">
        <v>3300009397</v>
      </c>
    </row>
    <row r="5509" spans="3:12">
      <c r="C5509">
        <v>2100300025</v>
      </c>
      <c r="D5509">
        <v>6426000</v>
      </c>
      <c r="E5509" t="s">
        <v>188</v>
      </c>
      <c r="F5509">
        <v>5104010107</v>
      </c>
      <c r="G5509" s="13">
        <v>1450</v>
      </c>
      <c r="I5509" t="s">
        <v>156</v>
      </c>
      <c r="J5509" t="s">
        <v>814</v>
      </c>
      <c r="K5509" t="s">
        <v>154</v>
      </c>
      <c r="L5509">
        <v>3300009601</v>
      </c>
    </row>
    <row r="5510" spans="3:12">
      <c r="C5510">
        <v>2100300025</v>
      </c>
      <c r="D5510">
        <v>6426000</v>
      </c>
      <c r="E5510" t="s">
        <v>188</v>
      </c>
      <c r="F5510">
        <v>5104010107</v>
      </c>
      <c r="G5510" s="13">
        <v>3905.5</v>
      </c>
      <c r="I5510" t="s">
        <v>156</v>
      </c>
      <c r="J5510" t="s">
        <v>814</v>
      </c>
      <c r="K5510" t="s">
        <v>154</v>
      </c>
      <c r="L5510">
        <v>3300009603</v>
      </c>
    </row>
    <row r="5511" spans="3:12">
      <c r="C5511">
        <v>2100300025</v>
      </c>
      <c r="D5511">
        <v>6426000</v>
      </c>
      <c r="E5511" t="s">
        <v>188</v>
      </c>
      <c r="F5511">
        <v>5104010107</v>
      </c>
      <c r="G5511" s="13">
        <v>3800</v>
      </c>
      <c r="I5511" t="s">
        <v>156</v>
      </c>
      <c r="J5511" t="s">
        <v>900</v>
      </c>
      <c r="K5511" t="s">
        <v>154</v>
      </c>
      <c r="L5511">
        <v>3300008783</v>
      </c>
    </row>
    <row r="5512" spans="3:12">
      <c r="C5512">
        <v>2100300025</v>
      </c>
      <c r="D5512">
        <v>6426000</v>
      </c>
      <c r="E5512" t="s">
        <v>188</v>
      </c>
      <c r="F5512">
        <v>5104010107</v>
      </c>
      <c r="G5512" s="13">
        <v>2000</v>
      </c>
      <c r="I5512" t="s">
        <v>156</v>
      </c>
      <c r="J5512" t="s">
        <v>872</v>
      </c>
      <c r="K5512" t="s">
        <v>154</v>
      </c>
      <c r="L5512">
        <v>3300019852</v>
      </c>
    </row>
    <row r="5513" spans="3:12">
      <c r="C5513">
        <v>2100300025</v>
      </c>
      <c r="D5513">
        <v>6426000</v>
      </c>
      <c r="E5513" t="s">
        <v>188</v>
      </c>
      <c r="F5513">
        <v>5104010107</v>
      </c>
      <c r="G5513">
        <v>375</v>
      </c>
      <c r="I5513" t="s">
        <v>156</v>
      </c>
      <c r="J5513" t="s">
        <v>822</v>
      </c>
      <c r="K5513" t="s">
        <v>154</v>
      </c>
      <c r="L5513">
        <v>3300017502</v>
      </c>
    </row>
    <row r="5514" spans="3:12">
      <c r="C5514">
        <v>2100300025</v>
      </c>
      <c r="D5514">
        <v>6426000</v>
      </c>
      <c r="E5514" t="s">
        <v>188</v>
      </c>
      <c r="F5514">
        <v>5104010107</v>
      </c>
      <c r="G5514">
        <v>950</v>
      </c>
      <c r="I5514" t="s">
        <v>156</v>
      </c>
      <c r="J5514" t="s">
        <v>799</v>
      </c>
      <c r="K5514" t="s">
        <v>154</v>
      </c>
      <c r="L5514">
        <v>3300021696</v>
      </c>
    </row>
    <row r="5515" spans="3:12">
      <c r="C5515">
        <v>2100300025</v>
      </c>
      <c r="D5515">
        <v>6426000</v>
      </c>
      <c r="E5515" t="s">
        <v>188</v>
      </c>
      <c r="F5515">
        <v>5104010107</v>
      </c>
      <c r="G5515" s="13">
        <v>3800</v>
      </c>
      <c r="I5515" t="s">
        <v>156</v>
      </c>
      <c r="J5515" t="s">
        <v>799</v>
      </c>
      <c r="K5515" t="s">
        <v>154</v>
      </c>
      <c r="L5515">
        <v>3300021593</v>
      </c>
    </row>
    <row r="5516" spans="3:12">
      <c r="C5516">
        <v>2100300025</v>
      </c>
      <c r="D5516">
        <v>6426000</v>
      </c>
      <c r="E5516" t="s">
        <v>188</v>
      </c>
      <c r="F5516">
        <v>5104010107</v>
      </c>
      <c r="G5516" s="13">
        <v>1600</v>
      </c>
      <c r="I5516" t="s">
        <v>156</v>
      </c>
      <c r="J5516" t="s">
        <v>830</v>
      </c>
      <c r="K5516" t="s">
        <v>154</v>
      </c>
      <c r="L5516">
        <v>3300028350</v>
      </c>
    </row>
    <row r="5517" spans="3:12">
      <c r="C5517">
        <v>2100300025</v>
      </c>
      <c r="D5517">
        <v>6426000</v>
      </c>
      <c r="E5517" t="s">
        <v>188</v>
      </c>
      <c r="F5517">
        <v>5104010107</v>
      </c>
      <c r="G5517" s="13">
        <v>4494</v>
      </c>
      <c r="I5517" t="s">
        <v>156</v>
      </c>
      <c r="J5517" t="s">
        <v>830</v>
      </c>
      <c r="K5517" t="s">
        <v>154</v>
      </c>
      <c r="L5517">
        <v>3300028538</v>
      </c>
    </row>
    <row r="5518" spans="3:12">
      <c r="C5518">
        <v>2100300025</v>
      </c>
      <c r="D5518">
        <v>6426000</v>
      </c>
      <c r="E5518" t="s">
        <v>188</v>
      </c>
      <c r="F5518">
        <v>5104010107</v>
      </c>
      <c r="G5518" s="13">
        <v>1284</v>
      </c>
      <c r="I5518" t="s">
        <v>156</v>
      </c>
      <c r="J5518" t="s">
        <v>937</v>
      </c>
      <c r="K5518" t="s">
        <v>154</v>
      </c>
      <c r="L5518">
        <v>3300040205</v>
      </c>
    </row>
    <row r="5519" spans="3:12">
      <c r="C5519">
        <v>2100300025</v>
      </c>
      <c r="D5519">
        <v>6426000</v>
      </c>
      <c r="E5519" t="s">
        <v>188</v>
      </c>
      <c r="F5519">
        <v>5104010107</v>
      </c>
      <c r="G5519" s="13">
        <v>3000</v>
      </c>
      <c r="I5519" t="s">
        <v>156</v>
      </c>
      <c r="J5519" t="s">
        <v>939</v>
      </c>
      <c r="K5519" t="s">
        <v>154</v>
      </c>
      <c r="L5519">
        <v>3300043085</v>
      </c>
    </row>
    <row r="5520" spans="3:12">
      <c r="C5520">
        <v>2100300025</v>
      </c>
      <c r="D5520">
        <v>6426000</v>
      </c>
      <c r="E5520" t="s">
        <v>188</v>
      </c>
      <c r="F5520">
        <v>5104010107</v>
      </c>
      <c r="G5520" s="13">
        <v>3800</v>
      </c>
      <c r="I5520" t="s">
        <v>156</v>
      </c>
      <c r="J5520" t="s">
        <v>954</v>
      </c>
      <c r="K5520" t="s">
        <v>154</v>
      </c>
      <c r="L5520">
        <v>3300050689</v>
      </c>
    </row>
    <row r="5521" spans="3:12">
      <c r="C5521">
        <v>2100300025</v>
      </c>
      <c r="D5521">
        <v>6426000</v>
      </c>
      <c r="E5521" t="s">
        <v>188</v>
      </c>
      <c r="F5521">
        <v>5104010107</v>
      </c>
      <c r="G5521" s="13">
        <v>1605</v>
      </c>
      <c r="I5521" t="s">
        <v>156</v>
      </c>
      <c r="J5521" t="s">
        <v>956</v>
      </c>
      <c r="K5521" t="s">
        <v>154</v>
      </c>
      <c r="L5521">
        <v>3300048486</v>
      </c>
    </row>
    <row r="5522" spans="3:12">
      <c r="C5522">
        <v>2100300025</v>
      </c>
      <c r="D5522">
        <v>6426000</v>
      </c>
      <c r="E5522" t="s">
        <v>188</v>
      </c>
      <c r="F5522">
        <v>5104010107</v>
      </c>
      <c r="G5522" s="13">
        <v>3005</v>
      </c>
      <c r="I5522" t="s">
        <v>156</v>
      </c>
      <c r="J5522" t="s">
        <v>956</v>
      </c>
      <c r="K5522" t="s">
        <v>154</v>
      </c>
      <c r="L5522">
        <v>3300053536</v>
      </c>
    </row>
    <row r="5523" spans="3:12">
      <c r="C5523">
        <v>2100300025</v>
      </c>
      <c r="D5523">
        <v>6426000</v>
      </c>
      <c r="E5523" t="s">
        <v>188</v>
      </c>
      <c r="F5523">
        <v>5104010107</v>
      </c>
      <c r="G5523" s="13">
        <v>1700</v>
      </c>
      <c r="I5523" t="s">
        <v>156</v>
      </c>
      <c r="J5523" t="s">
        <v>956</v>
      </c>
      <c r="K5523" t="s">
        <v>154</v>
      </c>
      <c r="L5523">
        <v>3300053426</v>
      </c>
    </row>
    <row r="5524" spans="3:12">
      <c r="C5524">
        <v>2100300025</v>
      </c>
      <c r="D5524">
        <v>6426000</v>
      </c>
      <c r="E5524" t="s">
        <v>188</v>
      </c>
      <c r="F5524">
        <v>5104010107</v>
      </c>
      <c r="G5524">
        <v>475</v>
      </c>
      <c r="I5524" t="s">
        <v>156</v>
      </c>
      <c r="J5524" t="s">
        <v>956</v>
      </c>
      <c r="K5524" t="s">
        <v>154</v>
      </c>
      <c r="L5524">
        <v>3300053428</v>
      </c>
    </row>
    <row r="5525" spans="3:12">
      <c r="C5525">
        <v>2100300025</v>
      </c>
      <c r="D5525">
        <v>6426000</v>
      </c>
      <c r="E5525" t="s">
        <v>188</v>
      </c>
      <c r="F5525">
        <v>5104010107</v>
      </c>
      <c r="G5525">
        <v>750</v>
      </c>
      <c r="I5525" t="s">
        <v>156</v>
      </c>
      <c r="J5525" t="s">
        <v>853</v>
      </c>
      <c r="K5525" t="s">
        <v>154</v>
      </c>
      <c r="L5525">
        <v>3300057811</v>
      </c>
    </row>
    <row r="5526" spans="3:12">
      <c r="C5526">
        <v>2100300025</v>
      </c>
      <c r="D5526">
        <v>6426000</v>
      </c>
      <c r="E5526" t="s">
        <v>188</v>
      </c>
      <c r="F5526">
        <v>5104010107</v>
      </c>
      <c r="G5526" s="13">
        <v>2300</v>
      </c>
      <c r="I5526" t="s">
        <v>156</v>
      </c>
      <c r="J5526" t="s">
        <v>978</v>
      </c>
      <c r="K5526" t="s">
        <v>154</v>
      </c>
      <c r="L5526">
        <v>3300078865</v>
      </c>
    </row>
    <row r="5527" spans="3:12">
      <c r="C5527">
        <v>2100300025</v>
      </c>
      <c r="D5527">
        <v>6426000</v>
      </c>
      <c r="E5527" t="s">
        <v>188</v>
      </c>
      <c r="F5527">
        <v>5104010107</v>
      </c>
      <c r="G5527">
        <v>750</v>
      </c>
      <c r="I5527" t="s">
        <v>156</v>
      </c>
      <c r="J5527" t="s">
        <v>978</v>
      </c>
      <c r="K5527" t="s">
        <v>154</v>
      </c>
      <c r="L5527">
        <v>3300078580</v>
      </c>
    </row>
    <row r="5528" spans="3:12">
      <c r="C5528">
        <v>2100300025</v>
      </c>
      <c r="D5528">
        <v>6426000</v>
      </c>
      <c r="E5528" t="s">
        <v>188</v>
      </c>
      <c r="F5528">
        <v>5104010107</v>
      </c>
      <c r="G5528" s="13">
        <v>3500</v>
      </c>
      <c r="I5528" t="s">
        <v>156</v>
      </c>
      <c r="J5528" t="s">
        <v>862</v>
      </c>
      <c r="K5528" t="s">
        <v>154</v>
      </c>
      <c r="L5528">
        <v>3300070579</v>
      </c>
    </row>
    <row r="5529" spans="3:12">
      <c r="C5529">
        <v>2100300025</v>
      </c>
      <c r="D5529">
        <v>6426000</v>
      </c>
      <c r="E5529" t="s">
        <v>188</v>
      </c>
      <c r="F5529">
        <v>5104010107</v>
      </c>
      <c r="G5529">
        <v>950</v>
      </c>
      <c r="I5529" t="s">
        <v>156</v>
      </c>
      <c r="J5529" t="s">
        <v>862</v>
      </c>
      <c r="K5529" t="s">
        <v>154</v>
      </c>
      <c r="L5529">
        <v>3300070563</v>
      </c>
    </row>
    <row r="5530" spans="3:12">
      <c r="C5530">
        <v>2100300025</v>
      </c>
      <c r="D5530">
        <v>6426000</v>
      </c>
      <c r="E5530" t="s">
        <v>188</v>
      </c>
      <c r="F5530">
        <v>5104010107</v>
      </c>
      <c r="G5530">
        <v>400</v>
      </c>
      <c r="I5530" t="s">
        <v>156</v>
      </c>
      <c r="J5530" t="s">
        <v>982</v>
      </c>
      <c r="K5530" t="s">
        <v>154</v>
      </c>
      <c r="L5530">
        <v>3300075066</v>
      </c>
    </row>
    <row r="5531" spans="3:12">
      <c r="C5531">
        <v>2100300025</v>
      </c>
      <c r="D5531">
        <v>6426000</v>
      </c>
      <c r="E5531" t="s">
        <v>188</v>
      </c>
      <c r="F5531">
        <v>5104010107</v>
      </c>
      <c r="G5531" s="13">
        <v>4950</v>
      </c>
      <c r="I5531" t="s">
        <v>156</v>
      </c>
      <c r="J5531" t="s">
        <v>855</v>
      </c>
      <c r="K5531" t="s">
        <v>154</v>
      </c>
      <c r="L5531">
        <v>3300056871</v>
      </c>
    </row>
    <row r="5532" spans="3:12">
      <c r="C5532">
        <v>2100300025</v>
      </c>
      <c r="D5532">
        <v>6426000</v>
      </c>
      <c r="E5532" t="s">
        <v>188</v>
      </c>
      <c r="F5532">
        <v>5104010107</v>
      </c>
      <c r="G5532">
        <v>800</v>
      </c>
      <c r="I5532" t="s">
        <v>156</v>
      </c>
      <c r="J5532" t="s">
        <v>561</v>
      </c>
      <c r="K5532" t="s">
        <v>154</v>
      </c>
      <c r="L5532">
        <v>3300043385</v>
      </c>
    </row>
    <row r="5533" spans="3:12">
      <c r="C5533">
        <v>2100300025</v>
      </c>
      <c r="D5533">
        <v>6426000</v>
      </c>
      <c r="E5533" t="s">
        <v>188</v>
      </c>
      <c r="F5533">
        <v>5104010107</v>
      </c>
      <c r="G5533" s="13">
        <v>1600</v>
      </c>
      <c r="I5533" t="s">
        <v>156</v>
      </c>
      <c r="J5533" t="s">
        <v>561</v>
      </c>
      <c r="K5533" t="s">
        <v>154</v>
      </c>
      <c r="L5533">
        <v>3300043386</v>
      </c>
    </row>
    <row r="5534" spans="3:12">
      <c r="C5534">
        <v>2100300025</v>
      </c>
      <c r="D5534">
        <v>6426000</v>
      </c>
      <c r="E5534" t="s">
        <v>188</v>
      </c>
      <c r="F5534">
        <v>5104010107</v>
      </c>
      <c r="G5534">
        <v>560</v>
      </c>
      <c r="I5534" t="s">
        <v>156</v>
      </c>
      <c r="J5534" t="s">
        <v>561</v>
      </c>
      <c r="K5534" t="s">
        <v>154</v>
      </c>
      <c r="L5534">
        <v>3300044939</v>
      </c>
    </row>
    <row r="5535" spans="3:12">
      <c r="C5535">
        <v>2100300025</v>
      </c>
      <c r="D5535">
        <v>6426000</v>
      </c>
      <c r="E5535" t="s">
        <v>188</v>
      </c>
      <c r="F5535">
        <v>5104010107</v>
      </c>
      <c r="G5535" s="13">
        <v>1000</v>
      </c>
      <c r="I5535" t="s">
        <v>156</v>
      </c>
      <c r="J5535" t="s">
        <v>848</v>
      </c>
      <c r="K5535" t="s">
        <v>154</v>
      </c>
      <c r="L5535">
        <v>3300055126</v>
      </c>
    </row>
    <row r="5536" spans="3:12">
      <c r="C5536">
        <v>2100300025</v>
      </c>
      <c r="D5536">
        <v>6426000</v>
      </c>
      <c r="E5536" t="s">
        <v>188</v>
      </c>
      <c r="F5536">
        <v>5104010107</v>
      </c>
      <c r="G5536" s="13">
        <v>2200</v>
      </c>
      <c r="I5536" t="s">
        <v>156</v>
      </c>
      <c r="J5536" t="s">
        <v>962</v>
      </c>
      <c r="K5536" t="s">
        <v>154</v>
      </c>
      <c r="L5536">
        <v>3300062152</v>
      </c>
    </row>
    <row r="5537" spans="3:12">
      <c r="C5537">
        <v>2100300025</v>
      </c>
      <c r="D5537">
        <v>6426000</v>
      </c>
      <c r="E5537" t="s">
        <v>188</v>
      </c>
      <c r="F5537">
        <v>5104010107</v>
      </c>
      <c r="G5537" s="13">
        <v>4000</v>
      </c>
      <c r="I5537" t="s">
        <v>156</v>
      </c>
      <c r="J5537" t="s">
        <v>963</v>
      </c>
      <c r="K5537" t="s">
        <v>154</v>
      </c>
      <c r="L5537">
        <v>3300057585</v>
      </c>
    </row>
    <row r="5538" spans="3:12">
      <c r="C5538">
        <v>2100300025</v>
      </c>
      <c r="D5538">
        <v>6426000</v>
      </c>
      <c r="E5538" t="s">
        <v>188</v>
      </c>
      <c r="F5538">
        <v>5104010107</v>
      </c>
      <c r="G5538" s="13">
        <v>1000</v>
      </c>
      <c r="I5538" t="s">
        <v>156</v>
      </c>
      <c r="J5538" t="s">
        <v>855</v>
      </c>
      <c r="K5538" t="s">
        <v>154</v>
      </c>
      <c r="L5538">
        <v>3300056872</v>
      </c>
    </row>
    <row r="5539" spans="3:12">
      <c r="C5539">
        <v>2100300025</v>
      </c>
      <c r="D5539">
        <v>6426000</v>
      </c>
      <c r="E5539" t="s">
        <v>188</v>
      </c>
      <c r="F5539">
        <v>5104010107</v>
      </c>
      <c r="G5539" s="13">
        <v>1600</v>
      </c>
      <c r="I5539" t="s">
        <v>156</v>
      </c>
      <c r="J5539" t="s">
        <v>979</v>
      </c>
      <c r="K5539" t="s">
        <v>154</v>
      </c>
      <c r="L5539">
        <v>3300073286</v>
      </c>
    </row>
    <row r="5540" spans="3:12">
      <c r="C5540">
        <v>2100300025</v>
      </c>
      <c r="D5540">
        <v>6426000</v>
      </c>
      <c r="E5540" t="s">
        <v>188</v>
      </c>
      <c r="F5540">
        <v>5104010107</v>
      </c>
      <c r="G5540" s="13">
        <v>1000</v>
      </c>
      <c r="I5540" t="s">
        <v>156</v>
      </c>
      <c r="J5540" t="s">
        <v>862</v>
      </c>
      <c r="K5540" t="s">
        <v>154</v>
      </c>
      <c r="L5540">
        <v>3300070118</v>
      </c>
    </row>
    <row r="5541" spans="3:12">
      <c r="C5541">
        <v>2100300025</v>
      </c>
      <c r="D5541">
        <v>6426000</v>
      </c>
      <c r="E5541" t="s">
        <v>188</v>
      </c>
      <c r="F5541">
        <v>5104010107</v>
      </c>
      <c r="G5541">
        <v>500</v>
      </c>
      <c r="I5541" t="s">
        <v>156</v>
      </c>
      <c r="J5541" t="s">
        <v>978</v>
      </c>
      <c r="K5541" t="s">
        <v>154</v>
      </c>
      <c r="L5541">
        <v>3300076949</v>
      </c>
    </row>
    <row r="5542" spans="3:12">
      <c r="C5542">
        <v>2100300025</v>
      </c>
      <c r="D5542">
        <v>6426000</v>
      </c>
      <c r="E5542" t="s">
        <v>188</v>
      </c>
      <c r="F5542">
        <v>5104010107</v>
      </c>
      <c r="G5542" s="13">
        <v>2300</v>
      </c>
      <c r="I5542" t="s">
        <v>156</v>
      </c>
      <c r="J5542" t="s">
        <v>978</v>
      </c>
      <c r="K5542" t="s">
        <v>154</v>
      </c>
      <c r="L5542">
        <v>3300078861</v>
      </c>
    </row>
    <row r="5543" spans="3:12">
      <c r="C5543">
        <v>2100300025</v>
      </c>
      <c r="D5543">
        <v>6426000</v>
      </c>
      <c r="E5543" t="s">
        <v>188</v>
      </c>
      <c r="F5543">
        <v>5104010107</v>
      </c>
      <c r="G5543">
        <v>695.5</v>
      </c>
      <c r="I5543" t="s">
        <v>156</v>
      </c>
      <c r="J5543" t="s">
        <v>978</v>
      </c>
      <c r="K5543" t="s">
        <v>154</v>
      </c>
      <c r="L5543">
        <v>3300079502</v>
      </c>
    </row>
    <row r="5544" spans="3:12">
      <c r="C5544">
        <v>2100300025</v>
      </c>
      <c r="D5544">
        <v>6426000</v>
      </c>
      <c r="E5544" t="s">
        <v>188</v>
      </c>
      <c r="F5544">
        <v>5104010107</v>
      </c>
      <c r="G5544">
        <v>950</v>
      </c>
      <c r="I5544" t="s">
        <v>156</v>
      </c>
      <c r="J5544" t="s">
        <v>862</v>
      </c>
      <c r="K5544" t="s">
        <v>154</v>
      </c>
      <c r="L5544">
        <v>3300070115</v>
      </c>
    </row>
    <row r="5545" spans="3:12">
      <c r="C5545">
        <v>2100300025</v>
      </c>
      <c r="D5545">
        <v>6426000</v>
      </c>
      <c r="E5545" t="s">
        <v>188</v>
      </c>
      <c r="F5545">
        <v>5104010112</v>
      </c>
      <c r="G5545">
        <v>105.9</v>
      </c>
      <c r="I5545" t="s">
        <v>156</v>
      </c>
      <c r="J5545" t="s">
        <v>882</v>
      </c>
      <c r="K5545" t="s">
        <v>490</v>
      </c>
      <c r="L5545">
        <v>3300000028</v>
      </c>
    </row>
    <row r="5546" spans="3:12">
      <c r="C5546">
        <v>2100300025</v>
      </c>
      <c r="D5546">
        <v>6426000</v>
      </c>
      <c r="E5546" t="s">
        <v>188</v>
      </c>
      <c r="F5546">
        <v>5104010112</v>
      </c>
      <c r="G5546" s="13">
        <v>2000</v>
      </c>
      <c r="I5546" t="s">
        <v>156</v>
      </c>
      <c r="J5546" t="s">
        <v>882</v>
      </c>
      <c r="K5546" t="s">
        <v>490</v>
      </c>
      <c r="L5546">
        <v>3300000771</v>
      </c>
    </row>
    <row r="5547" spans="3:12">
      <c r="C5547">
        <v>2100300025</v>
      </c>
      <c r="D5547">
        <v>6426000</v>
      </c>
      <c r="E5547" t="s">
        <v>188</v>
      </c>
      <c r="F5547">
        <v>5104010112</v>
      </c>
      <c r="G5547" s="13">
        <v>2820</v>
      </c>
      <c r="I5547" t="s">
        <v>156</v>
      </c>
      <c r="J5547" t="s">
        <v>875</v>
      </c>
      <c r="K5547" t="s">
        <v>490</v>
      </c>
      <c r="L5547">
        <v>3300000011</v>
      </c>
    </row>
    <row r="5548" spans="3:12">
      <c r="C5548">
        <v>2100300025</v>
      </c>
      <c r="D5548">
        <v>6426000</v>
      </c>
      <c r="E5548" t="s">
        <v>188</v>
      </c>
      <c r="F5548">
        <v>5104010112</v>
      </c>
      <c r="G5548" s="13">
        <v>4500</v>
      </c>
      <c r="I5548" t="s">
        <v>156</v>
      </c>
      <c r="J5548" t="s">
        <v>906</v>
      </c>
      <c r="K5548" t="s">
        <v>490</v>
      </c>
      <c r="L5548">
        <v>3300015594</v>
      </c>
    </row>
    <row r="5549" spans="3:12">
      <c r="C5549">
        <v>2100300025</v>
      </c>
      <c r="D5549">
        <v>6426000</v>
      </c>
      <c r="E5549" t="s">
        <v>188</v>
      </c>
      <c r="F5549">
        <v>5104010112</v>
      </c>
      <c r="G5549" s="13">
        <v>1330</v>
      </c>
      <c r="I5549" t="s">
        <v>156</v>
      </c>
      <c r="J5549" t="s">
        <v>935</v>
      </c>
      <c r="K5549" t="s">
        <v>490</v>
      </c>
      <c r="L5549">
        <v>3300040323</v>
      </c>
    </row>
    <row r="5550" spans="3:12">
      <c r="C5550">
        <v>2100300025</v>
      </c>
      <c r="D5550">
        <v>6426000</v>
      </c>
      <c r="E5550" t="s">
        <v>188</v>
      </c>
      <c r="F5550">
        <v>5104010112</v>
      </c>
      <c r="G5550" s="13">
        <v>1500</v>
      </c>
      <c r="I5550" t="s">
        <v>156</v>
      </c>
      <c r="J5550" t="s">
        <v>958</v>
      </c>
      <c r="K5550" t="s">
        <v>490</v>
      </c>
      <c r="L5550">
        <v>3300059129</v>
      </c>
    </row>
    <row r="5551" spans="3:12">
      <c r="C5551">
        <v>2100300025</v>
      </c>
      <c r="D5551">
        <v>6426000</v>
      </c>
      <c r="E5551" t="s">
        <v>188</v>
      </c>
      <c r="F5551">
        <v>5104010112</v>
      </c>
      <c r="G5551" s="13">
        <v>1500</v>
      </c>
      <c r="I5551" t="s">
        <v>156</v>
      </c>
      <c r="J5551" t="s">
        <v>814</v>
      </c>
      <c r="K5551" t="s">
        <v>490</v>
      </c>
      <c r="L5551">
        <v>3300009701</v>
      </c>
    </row>
    <row r="5552" spans="3:12">
      <c r="C5552">
        <v>2100300025</v>
      </c>
      <c r="D5552">
        <v>6426000</v>
      </c>
      <c r="E5552" t="s">
        <v>188</v>
      </c>
      <c r="F5552">
        <v>5104010110</v>
      </c>
      <c r="G5552">
        <v>719.32</v>
      </c>
      <c r="I5552" t="s">
        <v>156</v>
      </c>
      <c r="J5552" t="s">
        <v>924</v>
      </c>
      <c r="K5552" t="s">
        <v>73</v>
      </c>
      <c r="L5552">
        <v>3300034341</v>
      </c>
    </row>
    <row r="5553" spans="3:12">
      <c r="C5553">
        <v>2100300025</v>
      </c>
      <c r="D5553">
        <v>6426000</v>
      </c>
      <c r="E5553" t="s">
        <v>188</v>
      </c>
      <c r="F5553">
        <v>5104010110</v>
      </c>
      <c r="G5553">
        <v>593.6</v>
      </c>
      <c r="I5553" t="s">
        <v>156</v>
      </c>
      <c r="J5553" t="s">
        <v>984</v>
      </c>
      <c r="K5553" t="s">
        <v>73</v>
      </c>
      <c r="L5553">
        <v>3300077134</v>
      </c>
    </row>
    <row r="5554" spans="3:12">
      <c r="C5554">
        <v>2100300025</v>
      </c>
      <c r="D5554">
        <v>6426000</v>
      </c>
      <c r="E5554" t="s">
        <v>188</v>
      </c>
      <c r="F5554">
        <v>5104010112</v>
      </c>
      <c r="G5554" s="13">
        <v>3638</v>
      </c>
      <c r="I5554" t="s">
        <v>156</v>
      </c>
      <c r="J5554" t="s">
        <v>878</v>
      </c>
      <c r="K5554" t="s">
        <v>490</v>
      </c>
      <c r="L5554">
        <v>3300001251</v>
      </c>
    </row>
    <row r="5555" spans="3:12">
      <c r="C5555">
        <v>2100300025</v>
      </c>
      <c r="D5555">
        <v>6426000</v>
      </c>
      <c r="E5555" t="s">
        <v>188</v>
      </c>
      <c r="F5555">
        <v>5104010112</v>
      </c>
      <c r="G5555">
        <v>541.79999999999995</v>
      </c>
      <c r="I5555" t="s">
        <v>156</v>
      </c>
      <c r="J5555" t="s">
        <v>890</v>
      </c>
      <c r="K5555" t="s">
        <v>490</v>
      </c>
      <c r="L5555">
        <v>3300006522</v>
      </c>
    </row>
    <row r="5556" spans="3:12">
      <c r="C5556">
        <v>2100300025</v>
      </c>
      <c r="D5556">
        <v>6426000</v>
      </c>
      <c r="E5556" t="s">
        <v>188</v>
      </c>
      <c r="F5556">
        <v>5104010112</v>
      </c>
      <c r="G5556" s="13">
        <v>2000</v>
      </c>
      <c r="I5556" t="s">
        <v>156</v>
      </c>
      <c r="J5556" t="s">
        <v>890</v>
      </c>
      <c r="K5556" t="s">
        <v>490</v>
      </c>
      <c r="L5556">
        <v>3300006341</v>
      </c>
    </row>
    <row r="5557" spans="3:12">
      <c r="C5557">
        <v>2100300025</v>
      </c>
      <c r="D5557">
        <v>6426000</v>
      </c>
      <c r="E5557" t="s">
        <v>188</v>
      </c>
      <c r="F5557">
        <v>5104010112</v>
      </c>
      <c r="G5557" s="13">
        <v>2000</v>
      </c>
      <c r="I5557" t="s">
        <v>156</v>
      </c>
      <c r="J5557" t="s">
        <v>816</v>
      </c>
      <c r="K5557" t="s">
        <v>490</v>
      </c>
      <c r="L5557">
        <v>3300014127</v>
      </c>
    </row>
    <row r="5558" spans="3:12">
      <c r="C5558">
        <v>2100300025</v>
      </c>
      <c r="D5558">
        <v>6426000</v>
      </c>
      <c r="E5558" t="s">
        <v>188</v>
      </c>
      <c r="F5558">
        <v>5104010112</v>
      </c>
      <c r="G5558" s="13">
        <v>1500</v>
      </c>
      <c r="I5558" t="s">
        <v>156</v>
      </c>
      <c r="J5558" t="s">
        <v>567</v>
      </c>
      <c r="K5558" t="s">
        <v>490</v>
      </c>
      <c r="L5558">
        <v>3300018762</v>
      </c>
    </row>
    <row r="5559" spans="3:12">
      <c r="C5559">
        <v>2100300025</v>
      </c>
      <c r="D5559">
        <v>6426000</v>
      </c>
      <c r="E5559" t="s">
        <v>188</v>
      </c>
      <c r="F5559">
        <v>5104010112</v>
      </c>
      <c r="G5559" s="13">
        <v>1890.05</v>
      </c>
      <c r="I5559" t="s">
        <v>156</v>
      </c>
      <c r="J5559" t="s">
        <v>567</v>
      </c>
      <c r="K5559" t="s">
        <v>490</v>
      </c>
      <c r="L5559">
        <v>3300018463</v>
      </c>
    </row>
    <row r="5560" spans="3:12">
      <c r="C5560">
        <v>2100300025</v>
      </c>
      <c r="D5560">
        <v>6426000</v>
      </c>
      <c r="E5560" t="s">
        <v>188</v>
      </c>
      <c r="F5560">
        <v>5104010112</v>
      </c>
      <c r="G5560" s="13">
        <v>1852.2</v>
      </c>
      <c r="I5560" t="s">
        <v>156</v>
      </c>
      <c r="J5560" t="s">
        <v>567</v>
      </c>
      <c r="K5560" t="s">
        <v>490</v>
      </c>
      <c r="L5560">
        <v>3300018764</v>
      </c>
    </row>
    <row r="5561" spans="3:12">
      <c r="C5561">
        <v>2100300025</v>
      </c>
      <c r="D5561">
        <v>6426000</v>
      </c>
      <c r="E5561" t="s">
        <v>188</v>
      </c>
      <c r="F5561">
        <v>5104010112</v>
      </c>
      <c r="G5561" s="13">
        <v>2000</v>
      </c>
      <c r="I5561" t="s">
        <v>156</v>
      </c>
      <c r="J5561" t="s">
        <v>567</v>
      </c>
      <c r="K5561" t="s">
        <v>490</v>
      </c>
      <c r="L5561">
        <v>3300016861</v>
      </c>
    </row>
    <row r="5562" spans="3:12">
      <c r="C5562">
        <v>2100300025</v>
      </c>
      <c r="D5562">
        <v>6426000</v>
      </c>
      <c r="E5562" t="s">
        <v>188</v>
      </c>
      <c r="F5562">
        <v>5104010112</v>
      </c>
      <c r="G5562" s="13">
        <v>1560</v>
      </c>
      <c r="I5562" t="s">
        <v>156</v>
      </c>
      <c r="J5562" t="s">
        <v>799</v>
      </c>
      <c r="K5562" t="s">
        <v>490</v>
      </c>
      <c r="L5562">
        <v>3300021930</v>
      </c>
    </row>
    <row r="5563" spans="3:12">
      <c r="C5563">
        <v>2100300025</v>
      </c>
      <c r="D5563">
        <v>6426000</v>
      </c>
      <c r="E5563" t="s">
        <v>188</v>
      </c>
      <c r="F5563">
        <v>5104010112</v>
      </c>
      <c r="G5563" s="13">
        <v>2000</v>
      </c>
      <c r="I5563" t="s">
        <v>156</v>
      </c>
      <c r="J5563" t="s">
        <v>914</v>
      </c>
      <c r="K5563" t="s">
        <v>490</v>
      </c>
      <c r="L5563">
        <v>3300024600</v>
      </c>
    </row>
    <row r="5564" spans="3:12">
      <c r="C5564">
        <v>2100300025</v>
      </c>
      <c r="D5564">
        <v>6426000</v>
      </c>
      <c r="E5564" t="s">
        <v>188</v>
      </c>
      <c r="F5564">
        <v>5104010112</v>
      </c>
      <c r="G5564" s="13">
        <v>3520</v>
      </c>
      <c r="I5564" t="s">
        <v>156</v>
      </c>
      <c r="J5564" t="s">
        <v>924</v>
      </c>
      <c r="K5564" t="s">
        <v>490</v>
      </c>
      <c r="L5564">
        <v>3300034339</v>
      </c>
    </row>
    <row r="5565" spans="3:12">
      <c r="C5565">
        <v>2100300025</v>
      </c>
      <c r="D5565">
        <v>6426000</v>
      </c>
      <c r="E5565" t="s">
        <v>188</v>
      </c>
      <c r="F5565">
        <v>5104010112</v>
      </c>
      <c r="G5565">
        <v>800</v>
      </c>
      <c r="I5565" t="s">
        <v>156</v>
      </c>
      <c r="J5565" t="s">
        <v>801</v>
      </c>
      <c r="K5565" t="s">
        <v>490</v>
      </c>
      <c r="L5565">
        <v>3300030108</v>
      </c>
    </row>
    <row r="5566" spans="3:12">
      <c r="C5566">
        <v>2100300025</v>
      </c>
      <c r="D5566">
        <v>6426000</v>
      </c>
      <c r="E5566" t="s">
        <v>188</v>
      </c>
      <c r="F5566">
        <v>5104010112</v>
      </c>
      <c r="G5566">
        <v>675</v>
      </c>
      <c r="I5566" t="s">
        <v>156</v>
      </c>
      <c r="J5566" t="s">
        <v>926</v>
      </c>
      <c r="K5566" t="s">
        <v>490</v>
      </c>
      <c r="L5566">
        <v>3300034311</v>
      </c>
    </row>
    <row r="5567" spans="3:12">
      <c r="C5567">
        <v>2100300025</v>
      </c>
      <c r="D5567">
        <v>6426000</v>
      </c>
      <c r="E5567" t="s">
        <v>188</v>
      </c>
      <c r="F5567">
        <v>5104010112</v>
      </c>
      <c r="G5567" s="13">
        <v>3762</v>
      </c>
      <c r="I5567" t="s">
        <v>156</v>
      </c>
      <c r="J5567" t="s">
        <v>837</v>
      </c>
      <c r="K5567" t="s">
        <v>490</v>
      </c>
      <c r="L5567">
        <v>3300036178</v>
      </c>
    </row>
    <row r="5568" spans="3:12">
      <c r="C5568">
        <v>2100300025</v>
      </c>
      <c r="D5568">
        <v>6426000</v>
      </c>
      <c r="E5568" t="s">
        <v>188</v>
      </c>
      <c r="F5568">
        <v>5104010112</v>
      </c>
      <c r="G5568" s="13">
        <v>1200</v>
      </c>
      <c r="I5568" t="s">
        <v>156</v>
      </c>
      <c r="J5568" t="s">
        <v>837</v>
      </c>
      <c r="K5568" t="s">
        <v>490</v>
      </c>
      <c r="L5568">
        <v>3300029771</v>
      </c>
    </row>
    <row r="5569" spans="3:12">
      <c r="C5569">
        <v>2100300025</v>
      </c>
      <c r="D5569">
        <v>6426000</v>
      </c>
      <c r="E5569" t="s">
        <v>188</v>
      </c>
      <c r="F5569">
        <v>5104010112</v>
      </c>
      <c r="G5569">
        <v>593.09</v>
      </c>
      <c r="I5569" t="s">
        <v>156</v>
      </c>
      <c r="J5569" t="s">
        <v>841</v>
      </c>
      <c r="K5569" t="s">
        <v>490</v>
      </c>
      <c r="L5569">
        <v>3300046278</v>
      </c>
    </row>
    <row r="5570" spans="3:12">
      <c r="C5570">
        <v>2100300025</v>
      </c>
      <c r="D5570">
        <v>6426000</v>
      </c>
      <c r="E5570" t="s">
        <v>188</v>
      </c>
      <c r="F5570">
        <v>5104010112</v>
      </c>
      <c r="G5570" s="13">
        <v>4300</v>
      </c>
      <c r="I5570" t="s">
        <v>156</v>
      </c>
      <c r="J5570" t="s">
        <v>945</v>
      </c>
      <c r="K5570" t="s">
        <v>490</v>
      </c>
      <c r="L5570">
        <v>3300045200</v>
      </c>
    </row>
    <row r="5571" spans="3:12">
      <c r="C5571">
        <v>2100300025</v>
      </c>
      <c r="D5571">
        <v>6426000</v>
      </c>
      <c r="E5571" t="s">
        <v>188</v>
      </c>
      <c r="F5571">
        <v>5104010112</v>
      </c>
      <c r="G5571" s="13">
        <v>1080</v>
      </c>
      <c r="I5571" t="s">
        <v>156</v>
      </c>
      <c r="J5571" t="s">
        <v>952</v>
      </c>
      <c r="K5571" t="s">
        <v>490</v>
      </c>
      <c r="L5571">
        <v>3300051663</v>
      </c>
    </row>
    <row r="5572" spans="3:12">
      <c r="C5572">
        <v>2100300025</v>
      </c>
      <c r="D5572">
        <v>6426000</v>
      </c>
      <c r="E5572" t="s">
        <v>188</v>
      </c>
      <c r="F5572">
        <v>5104010112</v>
      </c>
      <c r="G5572" s="13">
        <v>4050</v>
      </c>
      <c r="I5572" t="s">
        <v>156</v>
      </c>
      <c r="J5572" t="s">
        <v>955</v>
      </c>
      <c r="K5572" t="s">
        <v>490</v>
      </c>
      <c r="L5572">
        <v>3300054194</v>
      </c>
    </row>
    <row r="5573" spans="3:12">
      <c r="C5573">
        <v>2100300025</v>
      </c>
      <c r="D5573">
        <v>6426000</v>
      </c>
      <c r="E5573" t="s">
        <v>188</v>
      </c>
      <c r="F5573">
        <v>5104010112</v>
      </c>
      <c r="G5573">
        <v>660.95</v>
      </c>
      <c r="I5573" t="s">
        <v>156</v>
      </c>
      <c r="J5573" t="s">
        <v>967</v>
      </c>
      <c r="K5573" t="s">
        <v>490</v>
      </c>
      <c r="L5573">
        <v>3300064517</v>
      </c>
    </row>
    <row r="5574" spans="3:12">
      <c r="C5574">
        <v>2100300025</v>
      </c>
      <c r="D5574">
        <v>6426000</v>
      </c>
      <c r="E5574" t="s">
        <v>188</v>
      </c>
      <c r="F5574">
        <v>5104010112</v>
      </c>
      <c r="G5574" s="13">
        <v>2100</v>
      </c>
      <c r="I5574" t="s">
        <v>156</v>
      </c>
      <c r="J5574" t="s">
        <v>969</v>
      </c>
      <c r="K5574" t="s">
        <v>490</v>
      </c>
      <c r="L5574">
        <v>3300065126</v>
      </c>
    </row>
    <row r="5575" spans="3:12">
      <c r="C5575">
        <v>2100300025</v>
      </c>
      <c r="D5575">
        <v>6426000</v>
      </c>
      <c r="E5575" t="s">
        <v>188</v>
      </c>
      <c r="F5575">
        <v>5104010112</v>
      </c>
      <c r="G5575" s="13">
        <v>1995</v>
      </c>
      <c r="I5575" t="s">
        <v>156</v>
      </c>
      <c r="J5575" t="s">
        <v>969</v>
      </c>
      <c r="K5575" t="s">
        <v>490</v>
      </c>
      <c r="L5575">
        <v>3300067327</v>
      </c>
    </row>
    <row r="5576" spans="3:12">
      <c r="C5576">
        <v>2100300025</v>
      </c>
      <c r="D5576">
        <v>6426000</v>
      </c>
      <c r="E5576" t="s">
        <v>188</v>
      </c>
      <c r="F5576">
        <v>5104010112</v>
      </c>
      <c r="G5576" s="13">
        <v>1560</v>
      </c>
      <c r="I5576" t="s">
        <v>156</v>
      </c>
      <c r="J5576" t="s">
        <v>910</v>
      </c>
      <c r="K5576" t="s">
        <v>490</v>
      </c>
      <c r="L5576">
        <v>3300019534</v>
      </c>
    </row>
    <row r="5577" spans="3:12">
      <c r="C5577">
        <v>2100300025</v>
      </c>
      <c r="D5577">
        <v>6426000</v>
      </c>
      <c r="E5577" t="s">
        <v>188</v>
      </c>
      <c r="F5577">
        <v>5104010112</v>
      </c>
      <c r="G5577" s="13">
        <v>2925</v>
      </c>
      <c r="I5577" t="s">
        <v>156</v>
      </c>
      <c r="J5577" t="s">
        <v>567</v>
      </c>
      <c r="K5577" t="s">
        <v>490</v>
      </c>
      <c r="L5577">
        <v>3300018761</v>
      </c>
    </row>
    <row r="5578" spans="3:12">
      <c r="C5578">
        <v>2100300025</v>
      </c>
      <c r="D5578">
        <v>6426000</v>
      </c>
      <c r="E5578" t="s">
        <v>188</v>
      </c>
      <c r="F5578">
        <v>5104010112</v>
      </c>
      <c r="G5578" s="13">
        <v>2000</v>
      </c>
      <c r="I5578" t="s">
        <v>156</v>
      </c>
      <c r="J5578" t="s">
        <v>925</v>
      </c>
      <c r="K5578" t="s">
        <v>490</v>
      </c>
      <c r="L5578">
        <v>3300032008</v>
      </c>
    </row>
    <row r="5579" spans="3:12">
      <c r="C5579">
        <v>2100300025</v>
      </c>
      <c r="D5579">
        <v>6426000</v>
      </c>
      <c r="E5579" t="s">
        <v>188</v>
      </c>
      <c r="F5579">
        <v>5104010112</v>
      </c>
      <c r="G5579">
        <v>675</v>
      </c>
      <c r="I5579" t="s">
        <v>156</v>
      </c>
      <c r="J5579" t="s">
        <v>926</v>
      </c>
      <c r="K5579" t="s">
        <v>490</v>
      </c>
      <c r="L5579">
        <v>3300034313</v>
      </c>
    </row>
    <row r="5580" spans="3:12">
      <c r="C5580">
        <v>2100300025</v>
      </c>
      <c r="D5580">
        <v>6426000</v>
      </c>
      <c r="E5580" t="s">
        <v>188</v>
      </c>
      <c r="F5580">
        <v>5104010112</v>
      </c>
      <c r="G5580" s="13">
        <v>2000</v>
      </c>
      <c r="I5580" t="s">
        <v>156</v>
      </c>
      <c r="J5580" t="s">
        <v>937</v>
      </c>
      <c r="K5580" t="s">
        <v>490</v>
      </c>
      <c r="L5580">
        <v>3300037398</v>
      </c>
    </row>
    <row r="5581" spans="3:12">
      <c r="C5581">
        <v>2100300025</v>
      </c>
      <c r="D5581">
        <v>6426000</v>
      </c>
      <c r="E5581" t="s">
        <v>188</v>
      </c>
      <c r="F5581">
        <v>5104010112</v>
      </c>
      <c r="G5581" s="13">
        <v>4485</v>
      </c>
      <c r="I5581" t="s">
        <v>156</v>
      </c>
      <c r="J5581" t="s">
        <v>937</v>
      </c>
      <c r="K5581" t="s">
        <v>490</v>
      </c>
      <c r="L5581">
        <v>3300039868</v>
      </c>
    </row>
    <row r="5582" spans="3:12">
      <c r="C5582">
        <v>2100300025</v>
      </c>
      <c r="D5582">
        <v>6426000</v>
      </c>
      <c r="E5582" t="s">
        <v>188</v>
      </c>
      <c r="F5582">
        <v>5104010112</v>
      </c>
      <c r="G5582" s="13">
        <v>3800</v>
      </c>
      <c r="I5582" t="s">
        <v>156</v>
      </c>
      <c r="J5582" t="s">
        <v>939</v>
      </c>
      <c r="K5582" t="s">
        <v>490</v>
      </c>
      <c r="L5582">
        <v>3300043627</v>
      </c>
    </row>
    <row r="5583" spans="3:12">
      <c r="C5583">
        <v>2100300025</v>
      </c>
      <c r="D5583">
        <v>6426000</v>
      </c>
      <c r="E5583" t="s">
        <v>188</v>
      </c>
      <c r="F5583">
        <v>5104010112</v>
      </c>
      <c r="G5583" s="13">
        <v>3300</v>
      </c>
      <c r="I5583" t="s">
        <v>156</v>
      </c>
      <c r="J5583" t="s">
        <v>939</v>
      </c>
      <c r="K5583" t="s">
        <v>490</v>
      </c>
      <c r="L5583">
        <v>3300043628</v>
      </c>
    </row>
    <row r="5584" spans="3:12">
      <c r="C5584">
        <v>2100300025</v>
      </c>
      <c r="D5584">
        <v>6426000</v>
      </c>
      <c r="E5584" t="s">
        <v>188</v>
      </c>
      <c r="F5584">
        <v>5104010112</v>
      </c>
      <c r="G5584" s="13">
        <v>2350</v>
      </c>
      <c r="I5584" t="s">
        <v>156</v>
      </c>
      <c r="J5584" t="s">
        <v>945</v>
      </c>
      <c r="K5584" t="s">
        <v>490</v>
      </c>
      <c r="L5584">
        <v>3300047859</v>
      </c>
    </row>
    <row r="5585" spans="3:12">
      <c r="C5585">
        <v>2100300025</v>
      </c>
      <c r="D5585">
        <v>6426000</v>
      </c>
      <c r="E5585" t="s">
        <v>188</v>
      </c>
      <c r="F5585">
        <v>5104010112</v>
      </c>
      <c r="G5585" s="13">
        <v>1363.21</v>
      </c>
      <c r="I5585" t="s">
        <v>156</v>
      </c>
      <c r="J5585" t="s">
        <v>946</v>
      </c>
      <c r="K5585" t="s">
        <v>490</v>
      </c>
      <c r="L5585">
        <v>3300053312</v>
      </c>
    </row>
    <row r="5586" spans="3:12">
      <c r="C5586">
        <v>2100300025</v>
      </c>
      <c r="D5586">
        <v>6426000</v>
      </c>
      <c r="E5586" t="s">
        <v>188</v>
      </c>
      <c r="F5586">
        <v>5104010112</v>
      </c>
      <c r="G5586" s="13">
        <v>2300</v>
      </c>
      <c r="I5586" t="s">
        <v>156</v>
      </c>
      <c r="J5586" t="s">
        <v>848</v>
      </c>
      <c r="K5586" t="s">
        <v>490</v>
      </c>
      <c r="L5586">
        <v>3300054775</v>
      </c>
    </row>
    <row r="5587" spans="3:12">
      <c r="C5587">
        <v>2100300025</v>
      </c>
      <c r="D5587">
        <v>6426000</v>
      </c>
      <c r="E5587" t="s">
        <v>188</v>
      </c>
      <c r="F5587">
        <v>5104010112</v>
      </c>
      <c r="G5587" s="13">
        <v>4815</v>
      </c>
      <c r="I5587" t="s">
        <v>156</v>
      </c>
      <c r="J5587" t="s">
        <v>956</v>
      </c>
      <c r="K5587" t="s">
        <v>490</v>
      </c>
      <c r="L5587">
        <v>3300053618</v>
      </c>
    </row>
    <row r="5588" spans="3:12">
      <c r="C5588">
        <v>2100300025</v>
      </c>
      <c r="D5588">
        <v>6426000</v>
      </c>
      <c r="E5588" t="s">
        <v>188</v>
      </c>
      <c r="F5588">
        <v>5104010112</v>
      </c>
      <c r="G5588" s="13">
        <v>4000</v>
      </c>
      <c r="I5588" t="s">
        <v>156</v>
      </c>
      <c r="J5588" t="s">
        <v>962</v>
      </c>
      <c r="K5588" t="s">
        <v>490</v>
      </c>
      <c r="L5588">
        <v>3300062161</v>
      </c>
    </row>
    <row r="5589" spans="3:12">
      <c r="C5589">
        <v>2100300025</v>
      </c>
      <c r="D5589">
        <v>6426000</v>
      </c>
      <c r="E5589" t="s">
        <v>188</v>
      </c>
      <c r="F5589">
        <v>5104010112</v>
      </c>
      <c r="G5589" s="13">
        <v>3700</v>
      </c>
      <c r="I5589" t="s">
        <v>156</v>
      </c>
      <c r="J5589" t="s">
        <v>964</v>
      </c>
      <c r="K5589" t="s">
        <v>490</v>
      </c>
      <c r="L5589">
        <v>3300059991</v>
      </c>
    </row>
    <row r="5590" spans="3:12">
      <c r="C5590">
        <v>2100300025</v>
      </c>
      <c r="D5590">
        <v>6426000</v>
      </c>
      <c r="E5590" t="s">
        <v>188</v>
      </c>
      <c r="F5590">
        <v>5104010112</v>
      </c>
      <c r="G5590" s="13">
        <v>3300</v>
      </c>
      <c r="I5590" t="s">
        <v>156</v>
      </c>
      <c r="J5590" t="s">
        <v>566</v>
      </c>
      <c r="K5590" t="s">
        <v>490</v>
      </c>
      <c r="L5590">
        <v>3300064342</v>
      </c>
    </row>
    <row r="5591" spans="3:12">
      <c r="C5591">
        <v>2100300025</v>
      </c>
      <c r="D5591">
        <v>6426000</v>
      </c>
      <c r="E5591" t="s">
        <v>188</v>
      </c>
      <c r="F5591">
        <v>5104010112</v>
      </c>
      <c r="G5591" s="13">
        <v>1920</v>
      </c>
      <c r="I5591" t="s">
        <v>156</v>
      </c>
      <c r="J5591" t="s">
        <v>969</v>
      </c>
      <c r="K5591" t="s">
        <v>490</v>
      </c>
      <c r="L5591">
        <v>3300067215</v>
      </c>
    </row>
    <row r="5592" spans="3:12">
      <c r="C5592">
        <v>2100300025</v>
      </c>
      <c r="D5592">
        <v>6426000</v>
      </c>
      <c r="E5592" t="s">
        <v>188</v>
      </c>
      <c r="F5592">
        <v>5104010112</v>
      </c>
      <c r="G5592">
        <v>910</v>
      </c>
      <c r="I5592" t="s">
        <v>156</v>
      </c>
      <c r="J5592" t="s">
        <v>974</v>
      </c>
      <c r="K5592" t="s">
        <v>490</v>
      </c>
      <c r="L5592">
        <v>3300068422</v>
      </c>
    </row>
    <row r="5593" spans="3:12">
      <c r="C5593">
        <v>2100300025</v>
      </c>
      <c r="D5593">
        <v>6426000</v>
      </c>
      <c r="E5593" t="s">
        <v>188</v>
      </c>
      <c r="F5593">
        <v>5104010112</v>
      </c>
      <c r="G5593" s="13">
        <v>3500</v>
      </c>
      <c r="I5593" t="s">
        <v>156</v>
      </c>
      <c r="J5593" t="s">
        <v>862</v>
      </c>
      <c r="K5593" t="s">
        <v>490</v>
      </c>
      <c r="L5593">
        <v>3300069326</v>
      </c>
    </row>
    <row r="5594" spans="3:12">
      <c r="C5594">
        <v>2100300025</v>
      </c>
      <c r="D5594">
        <v>6426000</v>
      </c>
      <c r="E5594" t="s">
        <v>188</v>
      </c>
      <c r="F5594">
        <v>5104010112</v>
      </c>
      <c r="G5594" s="13">
        <v>2600</v>
      </c>
      <c r="I5594" t="s">
        <v>156</v>
      </c>
      <c r="J5594" t="s">
        <v>979</v>
      </c>
      <c r="K5594" t="s">
        <v>490</v>
      </c>
      <c r="L5594">
        <v>3300071149</v>
      </c>
    </row>
    <row r="5595" spans="3:12">
      <c r="C5595">
        <v>2100300025</v>
      </c>
      <c r="D5595">
        <v>6426000</v>
      </c>
      <c r="E5595" t="s">
        <v>188</v>
      </c>
      <c r="F5595">
        <v>5104010112</v>
      </c>
      <c r="G5595" s="13">
        <v>1120</v>
      </c>
      <c r="I5595" t="s">
        <v>156</v>
      </c>
      <c r="J5595" t="s">
        <v>978</v>
      </c>
      <c r="K5595" t="s">
        <v>490</v>
      </c>
      <c r="L5595">
        <v>3300076948</v>
      </c>
    </row>
    <row r="5596" spans="3:12">
      <c r="C5596">
        <v>2100300025</v>
      </c>
      <c r="D5596">
        <v>6426000</v>
      </c>
      <c r="E5596" t="s">
        <v>188</v>
      </c>
      <c r="F5596">
        <v>5104010112</v>
      </c>
      <c r="G5596" s="13">
        <v>2500</v>
      </c>
      <c r="I5596" t="s">
        <v>156</v>
      </c>
      <c r="J5596" t="s">
        <v>865</v>
      </c>
      <c r="K5596" t="s">
        <v>490</v>
      </c>
      <c r="L5596">
        <v>3300072883</v>
      </c>
    </row>
    <row r="5597" spans="3:12">
      <c r="C5597">
        <v>2100300025</v>
      </c>
      <c r="D5597">
        <v>6426000</v>
      </c>
      <c r="E5597" t="s">
        <v>188</v>
      </c>
      <c r="F5597">
        <v>5104010112</v>
      </c>
      <c r="G5597" s="13">
        <v>3300</v>
      </c>
      <c r="I5597" t="s">
        <v>156</v>
      </c>
      <c r="J5597" t="s">
        <v>983</v>
      </c>
      <c r="K5597" t="s">
        <v>490</v>
      </c>
      <c r="L5597">
        <v>3300072163</v>
      </c>
    </row>
    <row r="5598" spans="3:12">
      <c r="C5598">
        <v>2100300025</v>
      </c>
      <c r="D5598">
        <v>6426000</v>
      </c>
      <c r="E5598" t="s">
        <v>188</v>
      </c>
      <c r="F5598">
        <v>5104010112</v>
      </c>
      <c r="G5598" s="13">
        <v>1800</v>
      </c>
      <c r="I5598" t="s">
        <v>156</v>
      </c>
      <c r="J5598" t="s">
        <v>984</v>
      </c>
      <c r="K5598" t="s">
        <v>490</v>
      </c>
      <c r="L5598">
        <v>3300078203</v>
      </c>
    </row>
    <row r="5599" spans="3:12">
      <c r="C5599">
        <v>2100300025</v>
      </c>
      <c r="D5599">
        <v>6426000</v>
      </c>
      <c r="E5599" t="s">
        <v>188</v>
      </c>
      <c r="F5599">
        <v>5104010112</v>
      </c>
      <c r="G5599" s="13">
        <v>3450</v>
      </c>
      <c r="I5599" t="s">
        <v>156</v>
      </c>
      <c r="J5599" t="s">
        <v>984</v>
      </c>
      <c r="K5599" t="s">
        <v>490</v>
      </c>
      <c r="L5599">
        <v>3300078129</v>
      </c>
    </row>
    <row r="5600" spans="3:12">
      <c r="C5600">
        <v>2100300025</v>
      </c>
      <c r="D5600">
        <v>6426000</v>
      </c>
      <c r="E5600" t="s">
        <v>188</v>
      </c>
      <c r="F5600">
        <v>5104010112</v>
      </c>
      <c r="G5600" s="13">
        <v>1600</v>
      </c>
      <c r="I5600" t="s">
        <v>156</v>
      </c>
      <c r="J5600" t="s">
        <v>868</v>
      </c>
      <c r="K5600" t="s">
        <v>490</v>
      </c>
      <c r="L5600">
        <v>3300070777</v>
      </c>
    </row>
    <row r="5601" spans="3:12">
      <c r="C5601">
        <v>2100300025</v>
      </c>
      <c r="D5601">
        <v>6426000</v>
      </c>
      <c r="E5601" t="s">
        <v>188</v>
      </c>
      <c r="F5601">
        <v>5104020103</v>
      </c>
      <c r="G5601" s="13">
        <v>64163.81</v>
      </c>
      <c r="I5601" t="s">
        <v>156</v>
      </c>
      <c r="J5601" t="s">
        <v>828</v>
      </c>
      <c r="K5601" t="s">
        <v>157</v>
      </c>
      <c r="L5601">
        <v>3300028240</v>
      </c>
    </row>
    <row r="5602" spans="3:12">
      <c r="C5602">
        <v>2100300025</v>
      </c>
      <c r="D5602">
        <v>6426000</v>
      </c>
      <c r="E5602" t="s">
        <v>188</v>
      </c>
      <c r="F5602">
        <v>5104020105</v>
      </c>
      <c r="G5602" s="13">
        <v>10914.55</v>
      </c>
      <c r="I5602" t="s">
        <v>156</v>
      </c>
      <c r="J5602" t="s">
        <v>914</v>
      </c>
      <c r="K5602" t="s">
        <v>83</v>
      </c>
      <c r="L5602">
        <v>3300019465</v>
      </c>
    </row>
    <row r="5603" spans="3:12">
      <c r="C5603">
        <v>2100300025</v>
      </c>
      <c r="D5603">
        <v>6426000</v>
      </c>
      <c r="E5603" t="s">
        <v>188</v>
      </c>
      <c r="F5603">
        <v>5104020101</v>
      </c>
      <c r="G5603" s="13">
        <v>11433.08</v>
      </c>
      <c r="I5603" t="s">
        <v>156</v>
      </c>
      <c r="J5603" t="s">
        <v>808</v>
      </c>
      <c r="K5603" t="s">
        <v>79</v>
      </c>
      <c r="L5603">
        <v>3300004621</v>
      </c>
    </row>
    <row r="5604" spans="3:12">
      <c r="C5604">
        <v>2100300025</v>
      </c>
      <c r="D5604">
        <v>6426000</v>
      </c>
      <c r="E5604" t="s">
        <v>188</v>
      </c>
      <c r="F5604">
        <v>5104020101</v>
      </c>
      <c r="G5604" s="13">
        <v>217418.67</v>
      </c>
      <c r="I5604" t="s">
        <v>156</v>
      </c>
      <c r="J5604" t="s">
        <v>890</v>
      </c>
      <c r="K5604" t="s">
        <v>79</v>
      </c>
      <c r="L5604">
        <v>3300006513</v>
      </c>
    </row>
    <row r="5605" spans="3:12">
      <c r="C5605">
        <v>2100300025</v>
      </c>
      <c r="D5605">
        <v>6426000</v>
      </c>
      <c r="E5605" t="s">
        <v>188</v>
      </c>
      <c r="F5605">
        <v>5104020101</v>
      </c>
      <c r="G5605" s="13">
        <v>8288.98</v>
      </c>
      <c r="I5605" t="s">
        <v>156</v>
      </c>
      <c r="J5605" t="s">
        <v>911</v>
      </c>
      <c r="K5605" t="s">
        <v>79</v>
      </c>
      <c r="L5605">
        <v>3300001081</v>
      </c>
    </row>
    <row r="5606" spans="3:12">
      <c r="C5606">
        <v>2100300025</v>
      </c>
      <c r="D5606">
        <v>6426000</v>
      </c>
      <c r="E5606" t="s">
        <v>188</v>
      </c>
      <c r="F5606">
        <v>5104020101</v>
      </c>
      <c r="G5606" s="13">
        <v>8253.11</v>
      </c>
      <c r="I5606" t="s">
        <v>156</v>
      </c>
      <c r="J5606" t="s">
        <v>919</v>
      </c>
      <c r="K5606" t="s">
        <v>79</v>
      </c>
      <c r="L5606">
        <v>3300022289</v>
      </c>
    </row>
    <row r="5607" spans="3:12">
      <c r="C5607">
        <v>2100300025</v>
      </c>
      <c r="D5607">
        <v>6426000</v>
      </c>
      <c r="E5607" t="s">
        <v>188</v>
      </c>
      <c r="F5607">
        <v>5104020101</v>
      </c>
      <c r="G5607" s="13">
        <v>698779.83</v>
      </c>
      <c r="I5607" t="s">
        <v>156</v>
      </c>
      <c r="J5607" t="s">
        <v>966</v>
      </c>
      <c r="K5607" t="s">
        <v>79</v>
      </c>
      <c r="L5607">
        <v>3300037222</v>
      </c>
    </row>
    <row r="5608" spans="3:12">
      <c r="C5608">
        <v>2100300025</v>
      </c>
      <c r="D5608">
        <v>6426000</v>
      </c>
      <c r="E5608" t="s">
        <v>188</v>
      </c>
      <c r="F5608">
        <v>5104020101</v>
      </c>
      <c r="G5608" s="13">
        <v>7883.14</v>
      </c>
      <c r="I5608" t="s">
        <v>156</v>
      </c>
      <c r="J5608" t="s">
        <v>967</v>
      </c>
      <c r="K5608" t="s">
        <v>79</v>
      </c>
      <c r="L5608">
        <v>3300065014</v>
      </c>
    </row>
    <row r="5609" spans="3:12">
      <c r="C5609">
        <v>2100300025</v>
      </c>
      <c r="D5609">
        <v>6426000</v>
      </c>
      <c r="E5609" t="s">
        <v>188</v>
      </c>
      <c r="F5609">
        <v>5104020103</v>
      </c>
      <c r="G5609" s="13">
        <v>66635.199999999997</v>
      </c>
      <c r="I5609" t="s">
        <v>156</v>
      </c>
      <c r="J5609" t="s">
        <v>916</v>
      </c>
      <c r="K5609" t="s">
        <v>157</v>
      </c>
      <c r="L5609">
        <v>3300023521</v>
      </c>
    </row>
    <row r="5610" spans="3:12">
      <c r="C5610">
        <v>2100300025</v>
      </c>
      <c r="D5610">
        <v>6426000</v>
      </c>
      <c r="E5610" t="s">
        <v>188</v>
      </c>
      <c r="F5610">
        <v>5104020103</v>
      </c>
      <c r="G5610" s="13">
        <v>74052.429999999993</v>
      </c>
      <c r="I5610" t="s">
        <v>156</v>
      </c>
      <c r="J5610" t="s">
        <v>967</v>
      </c>
      <c r="K5610" t="s">
        <v>157</v>
      </c>
      <c r="L5610">
        <v>3300061713</v>
      </c>
    </row>
    <row r="5611" spans="3:12">
      <c r="C5611">
        <v>2100300025</v>
      </c>
      <c r="D5611">
        <v>6426000</v>
      </c>
      <c r="E5611" t="s">
        <v>188</v>
      </c>
      <c r="F5611">
        <v>5104020105</v>
      </c>
      <c r="G5611" s="13">
        <v>10696.43</v>
      </c>
      <c r="I5611" t="s">
        <v>156</v>
      </c>
      <c r="J5611" t="s">
        <v>890</v>
      </c>
      <c r="K5611" t="s">
        <v>83</v>
      </c>
      <c r="L5611">
        <v>3300005972</v>
      </c>
    </row>
    <row r="5612" spans="3:12">
      <c r="C5612">
        <v>2100300025</v>
      </c>
      <c r="D5612">
        <v>6426000</v>
      </c>
      <c r="E5612" t="s">
        <v>188</v>
      </c>
      <c r="F5612">
        <v>5104020105</v>
      </c>
      <c r="G5612" s="13">
        <v>11153.7</v>
      </c>
      <c r="I5612" t="s">
        <v>156</v>
      </c>
      <c r="J5612" t="s">
        <v>841</v>
      </c>
      <c r="K5612" t="s">
        <v>83</v>
      </c>
      <c r="L5612">
        <v>3300045560</v>
      </c>
    </row>
    <row r="5613" spans="3:12">
      <c r="C5613">
        <v>2100300025</v>
      </c>
      <c r="D5613">
        <v>6426000</v>
      </c>
      <c r="E5613" t="s">
        <v>188</v>
      </c>
      <c r="F5613">
        <v>5104020105</v>
      </c>
      <c r="G5613">
        <v>551.04999999999995</v>
      </c>
      <c r="I5613" t="s">
        <v>156</v>
      </c>
      <c r="J5613" t="s">
        <v>946</v>
      </c>
      <c r="K5613" t="s">
        <v>83</v>
      </c>
      <c r="L5613">
        <v>3300053313</v>
      </c>
    </row>
    <row r="5614" spans="3:12">
      <c r="C5614">
        <v>2100300025</v>
      </c>
      <c r="D5614">
        <v>6426000</v>
      </c>
      <c r="E5614" t="s">
        <v>188</v>
      </c>
      <c r="F5614">
        <v>5104020105</v>
      </c>
      <c r="G5614" s="13">
        <v>12687.53</v>
      </c>
      <c r="I5614" t="s">
        <v>156</v>
      </c>
      <c r="J5614" t="s">
        <v>952</v>
      </c>
      <c r="K5614" t="s">
        <v>83</v>
      </c>
      <c r="L5614">
        <v>3300051667</v>
      </c>
    </row>
    <row r="5615" spans="3:12">
      <c r="C5615">
        <v>2100300025</v>
      </c>
      <c r="D5615">
        <v>6426000</v>
      </c>
      <c r="E5615" t="s">
        <v>188</v>
      </c>
      <c r="F5615">
        <v>5104020105</v>
      </c>
      <c r="G5615" s="13">
        <v>12108.66</v>
      </c>
      <c r="I5615" t="s">
        <v>156</v>
      </c>
      <c r="J5615" t="s">
        <v>960</v>
      </c>
      <c r="K5615" t="s">
        <v>83</v>
      </c>
      <c r="L5615">
        <v>3300057705</v>
      </c>
    </row>
    <row r="5616" spans="3:12">
      <c r="C5616">
        <v>2100300025</v>
      </c>
      <c r="D5616">
        <v>6426000</v>
      </c>
      <c r="E5616" t="s">
        <v>188</v>
      </c>
      <c r="F5616">
        <v>5104020105</v>
      </c>
      <c r="G5616" s="13">
        <v>11647.5</v>
      </c>
      <c r="I5616" t="s">
        <v>156</v>
      </c>
      <c r="J5616" t="s">
        <v>972</v>
      </c>
      <c r="K5616" t="s">
        <v>83</v>
      </c>
      <c r="L5616">
        <v>3300065240</v>
      </c>
    </row>
    <row r="5617" spans="3:12">
      <c r="C5617">
        <v>2100300025</v>
      </c>
      <c r="D5617">
        <v>6426000</v>
      </c>
      <c r="E5617" t="s">
        <v>188</v>
      </c>
      <c r="F5617">
        <v>5104020106</v>
      </c>
      <c r="G5617" s="13">
        <v>2675</v>
      </c>
      <c r="I5617" t="s">
        <v>156</v>
      </c>
      <c r="J5617" t="s">
        <v>883</v>
      </c>
      <c r="K5617" t="s">
        <v>491</v>
      </c>
      <c r="L5617">
        <v>3300003895</v>
      </c>
    </row>
    <row r="5618" spans="3:12">
      <c r="C5618">
        <v>2100300025</v>
      </c>
      <c r="D5618">
        <v>6426000</v>
      </c>
      <c r="E5618" t="s">
        <v>188</v>
      </c>
      <c r="F5618">
        <v>5104020106</v>
      </c>
      <c r="G5618" s="13">
        <v>12840</v>
      </c>
      <c r="I5618" t="s">
        <v>156</v>
      </c>
      <c r="J5618" t="s">
        <v>890</v>
      </c>
      <c r="K5618" t="s">
        <v>491</v>
      </c>
      <c r="L5618">
        <v>3300006514</v>
      </c>
    </row>
    <row r="5619" spans="3:12">
      <c r="C5619">
        <v>2100300025</v>
      </c>
      <c r="D5619">
        <v>6426000</v>
      </c>
      <c r="E5619" t="s">
        <v>188</v>
      </c>
      <c r="F5619">
        <v>5104020106</v>
      </c>
      <c r="G5619" s="13">
        <v>2675</v>
      </c>
      <c r="I5619" t="s">
        <v>156</v>
      </c>
      <c r="J5619" t="s">
        <v>900</v>
      </c>
      <c r="K5619" t="s">
        <v>491</v>
      </c>
      <c r="L5619">
        <v>3300009724</v>
      </c>
    </row>
    <row r="5620" spans="3:12">
      <c r="C5620">
        <v>2100300025</v>
      </c>
      <c r="D5620">
        <v>6426000</v>
      </c>
      <c r="E5620" t="s">
        <v>188</v>
      </c>
      <c r="F5620">
        <v>5104020106</v>
      </c>
      <c r="G5620" s="13">
        <v>1284</v>
      </c>
      <c r="I5620" t="s">
        <v>156</v>
      </c>
      <c r="J5620" t="s">
        <v>918</v>
      </c>
      <c r="K5620" t="s">
        <v>491</v>
      </c>
      <c r="L5620">
        <v>3300026818</v>
      </c>
    </row>
    <row r="5621" spans="3:12">
      <c r="C5621">
        <v>2100300025</v>
      </c>
      <c r="D5621">
        <v>6426000</v>
      </c>
      <c r="E5621" t="s">
        <v>188</v>
      </c>
      <c r="F5621">
        <v>5104020106</v>
      </c>
      <c r="G5621" s="13">
        <v>2675</v>
      </c>
      <c r="I5621" t="s">
        <v>156</v>
      </c>
      <c r="J5621" t="s">
        <v>919</v>
      </c>
      <c r="K5621" t="s">
        <v>491</v>
      </c>
      <c r="L5621">
        <v>3300021969</v>
      </c>
    </row>
    <row r="5622" spans="3:12">
      <c r="C5622">
        <v>2100300025</v>
      </c>
      <c r="D5622">
        <v>6426000</v>
      </c>
      <c r="E5622" t="s">
        <v>188</v>
      </c>
      <c r="F5622">
        <v>5104020101</v>
      </c>
      <c r="G5622" s="13">
        <v>441763.51</v>
      </c>
      <c r="I5622" t="s">
        <v>156</v>
      </c>
      <c r="J5622" t="s">
        <v>823</v>
      </c>
      <c r="K5622" t="s">
        <v>79</v>
      </c>
      <c r="L5622">
        <v>3300023084</v>
      </c>
    </row>
    <row r="5623" spans="3:12">
      <c r="C5623">
        <v>2100300025</v>
      </c>
      <c r="D5623">
        <v>6426000</v>
      </c>
      <c r="E5623" t="s">
        <v>188</v>
      </c>
      <c r="F5623">
        <v>5104020106</v>
      </c>
      <c r="G5623" s="13">
        <v>12840</v>
      </c>
      <c r="I5623" t="s">
        <v>156</v>
      </c>
      <c r="J5623" t="s">
        <v>900</v>
      </c>
      <c r="K5623" t="s">
        <v>491</v>
      </c>
      <c r="L5623">
        <v>3300009723</v>
      </c>
    </row>
    <row r="5624" spans="3:12">
      <c r="C5624">
        <v>2100300025</v>
      </c>
      <c r="D5624">
        <v>6426000</v>
      </c>
      <c r="E5624" t="s">
        <v>188</v>
      </c>
      <c r="F5624">
        <v>5104020106</v>
      </c>
      <c r="G5624" s="13">
        <v>2675</v>
      </c>
      <c r="I5624" t="s">
        <v>156</v>
      </c>
      <c r="J5624" t="s">
        <v>902</v>
      </c>
      <c r="K5624" t="s">
        <v>491</v>
      </c>
      <c r="L5624">
        <v>3300009091</v>
      </c>
    </row>
    <row r="5625" spans="3:12">
      <c r="C5625">
        <v>2100300025</v>
      </c>
      <c r="D5625">
        <v>6426000</v>
      </c>
      <c r="E5625" t="s">
        <v>188</v>
      </c>
      <c r="F5625">
        <v>5104020106</v>
      </c>
      <c r="G5625" s="13">
        <v>2675</v>
      </c>
      <c r="I5625" t="s">
        <v>156</v>
      </c>
      <c r="J5625" t="s">
        <v>939</v>
      </c>
      <c r="K5625" t="s">
        <v>491</v>
      </c>
      <c r="L5625">
        <v>3300036745</v>
      </c>
    </row>
    <row r="5626" spans="3:12">
      <c r="C5626">
        <v>2100300025</v>
      </c>
      <c r="D5626">
        <v>6426000</v>
      </c>
      <c r="E5626" t="s">
        <v>188</v>
      </c>
      <c r="F5626">
        <v>5104020101</v>
      </c>
      <c r="G5626" s="13">
        <v>521023.51</v>
      </c>
      <c r="I5626" t="s">
        <v>156</v>
      </c>
      <c r="J5626" t="s">
        <v>875</v>
      </c>
      <c r="K5626" t="s">
        <v>79</v>
      </c>
      <c r="L5626">
        <v>3300000969</v>
      </c>
    </row>
    <row r="5627" spans="3:12">
      <c r="C5627">
        <v>2100300025</v>
      </c>
      <c r="D5627">
        <v>6426000</v>
      </c>
      <c r="E5627" t="s">
        <v>188</v>
      </c>
      <c r="F5627">
        <v>5104020101</v>
      </c>
      <c r="G5627" s="13">
        <v>8003.15</v>
      </c>
      <c r="I5627" t="s">
        <v>156</v>
      </c>
      <c r="J5627" t="s">
        <v>892</v>
      </c>
      <c r="K5627" t="s">
        <v>79</v>
      </c>
      <c r="L5627">
        <v>3300008493</v>
      </c>
    </row>
    <row r="5628" spans="3:12">
      <c r="C5628">
        <v>2100300025</v>
      </c>
      <c r="D5628">
        <v>6426000</v>
      </c>
      <c r="E5628" t="s">
        <v>188</v>
      </c>
      <c r="F5628">
        <v>5104020101</v>
      </c>
      <c r="G5628" s="13">
        <v>589316.66</v>
      </c>
      <c r="I5628" t="s">
        <v>156</v>
      </c>
      <c r="J5628" t="s">
        <v>814</v>
      </c>
      <c r="K5628" t="s">
        <v>79</v>
      </c>
      <c r="L5628">
        <v>3300009414</v>
      </c>
    </row>
    <row r="5629" spans="3:12">
      <c r="C5629">
        <v>2100300025</v>
      </c>
      <c r="D5629">
        <v>6426000</v>
      </c>
      <c r="E5629" t="s">
        <v>188</v>
      </c>
      <c r="F5629">
        <v>5104020101</v>
      </c>
      <c r="G5629" s="13">
        <v>466911.34</v>
      </c>
      <c r="I5629" t="s">
        <v>156</v>
      </c>
      <c r="J5629" t="s">
        <v>555</v>
      </c>
      <c r="K5629" t="s">
        <v>79</v>
      </c>
      <c r="L5629">
        <v>3300017972</v>
      </c>
    </row>
    <row r="5630" spans="3:12">
      <c r="C5630">
        <v>2100300025</v>
      </c>
      <c r="D5630">
        <v>6426000</v>
      </c>
      <c r="E5630" t="s">
        <v>188</v>
      </c>
      <c r="F5630">
        <v>5104020101</v>
      </c>
      <c r="G5630" s="13">
        <v>7683.93</v>
      </c>
      <c r="I5630" t="s">
        <v>156</v>
      </c>
      <c r="J5630" t="s">
        <v>828</v>
      </c>
      <c r="K5630" t="s">
        <v>79</v>
      </c>
      <c r="L5630">
        <v>3300028354</v>
      </c>
    </row>
    <row r="5631" spans="3:12">
      <c r="C5631">
        <v>2100300025</v>
      </c>
      <c r="D5631">
        <v>6426000</v>
      </c>
      <c r="E5631" t="s">
        <v>188</v>
      </c>
      <c r="F5631">
        <v>5104020101</v>
      </c>
      <c r="G5631" s="13">
        <v>488667.61</v>
      </c>
      <c r="I5631" t="s">
        <v>156</v>
      </c>
      <c r="J5631" t="s">
        <v>927</v>
      </c>
      <c r="K5631" t="s">
        <v>79</v>
      </c>
      <c r="L5631">
        <v>3300029511</v>
      </c>
    </row>
    <row r="5632" spans="3:12">
      <c r="C5632">
        <v>2100300025</v>
      </c>
      <c r="D5632">
        <v>6426000</v>
      </c>
      <c r="E5632" t="s">
        <v>188</v>
      </c>
      <c r="F5632">
        <v>5104020101</v>
      </c>
      <c r="G5632" s="13">
        <v>680982.49</v>
      </c>
      <c r="I5632" t="s">
        <v>156</v>
      </c>
      <c r="J5632" t="s">
        <v>836</v>
      </c>
      <c r="K5632" t="s">
        <v>79</v>
      </c>
      <c r="L5632">
        <v>3300036563</v>
      </c>
    </row>
    <row r="5633" spans="3:12">
      <c r="C5633">
        <v>2100300025</v>
      </c>
      <c r="D5633">
        <v>6426000</v>
      </c>
      <c r="E5633" t="s">
        <v>188</v>
      </c>
      <c r="F5633">
        <v>5104020101</v>
      </c>
      <c r="G5633" s="13">
        <v>7683.93</v>
      </c>
      <c r="I5633" t="s">
        <v>156</v>
      </c>
      <c r="J5633" t="s">
        <v>939</v>
      </c>
      <c r="K5633" t="s">
        <v>79</v>
      </c>
      <c r="L5633">
        <v>3300043421</v>
      </c>
    </row>
    <row r="5634" spans="3:12">
      <c r="C5634">
        <v>2100300025</v>
      </c>
      <c r="D5634">
        <v>6426000</v>
      </c>
      <c r="E5634" t="s">
        <v>188</v>
      </c>
      <c r="F5634">
        <v>5104020101</v>
      </c>
      <c r="G5634" s="13">
        <v>238220.87</v>
      </c>
      <c r="I5634" t="s">
        <v>156</v>
      </c>
      <c r="J5634" t="s">
        <v>941</v>
      </c>
      <c r="K5634" t="s">
        <v>79</v>
      </c>
      <c r="L5634">
        <v>3300042058</v>
      </c>
    </row>
    <row r="5635" spans="3:12">
      <c r="C5635">
        <v>2100300025</v>
      </c>
      <c r="D5635">
        <v>6426000</v>
      </c>
      <c r="E5635" t="s">
        <v>188</v>
      </c>
      <c r="F5635">
        <v>5104020101</v>
      </c>
      <c r="G5635" s="13">
        <v>7968.53</v>
      </c>
      <c r="I5635" t="s">
        <v>156</v>
      </c>
      <c r="J5635" t="s">
        <v>950</v>
      </c>
      <c r="K5635" t="s">
        <v>79</v>
      </c>
      <c r="L5635">
        <v>3300001349</v>
      </c>
    </row>
    <row r="5636" spans="3:12">
      <c r="C5636">
        <v>2100300025</v>
      </c>
      <c r="D5636">
        <v>6426000</v>
      </c>
      <c r="E5636" t="s">
        <v>188</v>
      </c>
      <c r="F5636">
        <v>5104020101</v>
      </c>
      <c r="G5636" s="13">
        <v>804465.97</v>
      </c>
      <c r="I5636" t="s">
        <v>156</v>
      </c>
      <c r="J5636" t="s">
        <v>950</v>
      </c>
      <c r="K5636" t="s">
        <v>79</v>
      </c>
      <c r="L5636">
        <v>3300050406</v>
      </c>
    </row>
    <row r="5637" spans="3:12">
      <c r="C5637">
        <v>2100300025</v>
      </c>
      <c r="D5637">
        <v>6426000</v>
      </c>
      <c r="E5637" t="s">
        <v>188</v>
      </c>
      <c r="F5637">
        <v>5104020101</v>
      </c>
      <c r="G5637" s="13">
        <v>8822.2900000000009</v>
      </c>
      <c r="I5637" t="s">
        <v>156</v>
      </c>
      <c r="J5637" t="s">
        <v>966</v>
      </c>
      <c r="K5637" t="s">
        <v>79</v>
      </c>
      <c r="L5637">
        <v>3300057222</v>
      </c>
    </row>
    <row r="5638" spans="3:12">
      <c r="C5638">
        <v>2100300025</v>
      </c>
      <c r="D5638">
        <v>6426000</v>
      </c>
      <c r="E5638" t="s">
        <v>188</v>
      </c>
      <c r="F5638">
        <v>5104020101</v>
      </c>
      <c r="G5638" s="13">
        <v>728676.98</v>
      </c>
      <c r="I5638" t="s">
        <v>156</v>
      </c>
      <c r="J5638" t="s">
        <v>967</v>
      </c>
      <c r="K5638" t="s">
        <v>79</v>
      </c>
      <c r="L5638">
        <v>3300065016</v>
      </c>
    </row>
    <row r="5639" spans="3:12">
      <c r="C5639">
        <v>2100300025</v>
      </c>
      <c r="D5639">
        <v>6426000</v>
      </c>
      <c r="E5639" t="s">
        <v>188</v>
      </c>
      <c r="F5639">
        <v>5104020103</v>
      </c>
      <c r="G5639" s="13">
        <v>75418.710000000006</v>
      </c>
      <c r="I5639" t="s">
        <v>156</v>
      </c>
      <c r="J5639" t="s">
        <v>883</v>
      </c>
      <c r="K5639" t="s">
        <v>157</v>
      </c>
      <c r="L5639">
        <v>3300000051</v>
      </c>
    </row>
    <row r="5640" spans="3:12">
      <c r="C5640">
        <v>2100300025</v>
      </c>
      <c r="D5640">
        <v>6426000</v>
      </c>
      <c r="E5640" t="s">
        <v>188</v>
      </c>
      <c r="F5640">
        <v>5104020103</v>
      </c>
      <c r="G5640" s="13">
        <v>67624</v>
      </c>
      <c r="I5640" t="s">
        <v>156</v>
      </c>
      <c r="J5640" t="s">
        <v>814</v>
      </c>
      <c r="K5640" t="s">
        <v>157</v>
      </c>
      <c r="L5640">
        <v>3300009502</v>
      </c>
    </row>
    <row r="5641" spans="3:12">
      <c r="C5641">
        <v>2100300025</v>
      </c>
      <c r="D5641">
        <v>6426000</v>
      </c>
      <c r="E5641" t="s">
        <v>188</v>
      </c>
      <c r="F5641">
        <v>5104020103</v>
      </c>
      <c r="G5641" s="13">
        <v>68545.5</v>
      </c>
      <c r="I5641" t="s">
        <v>156</v>
      </c>
      <c r="J5641" t="s">
        <v>906</v>
      </c>
      <c r="K5641" t="s">
        <v>157</v>
      </c>
      <c r="L5641">
        <v>3300016192</v>
      </c>
    </row>
    <row r="5642" spans="3:12">
      <c r="C5642">
        <v>2100300025</v>
      </c>
      <c r="D5642">
        <v>6426000</v>
      </c>
      <c r="E5642" t="s">
        <v>188</v>
      </c>
      <c r="F5642">
        <v>5104020103</v>
      </c>
      <c r="G5642" s="13">
        <v>66068.820000000007</v>
      </c>
      <c r="I5642" t="s">
        <v>156</v>
      </c>
      <c r="J5642" t="s">
        <v>941</v>
      </c>
      <c r="K5642" t="s">
        <v>157</v>
      </c>
      <c r="L5642">
        <v>3300043579</v>
      </c>
    </row>
    <row r="5643" spans="3:12">
      <c r="C5643">
        <v>2100300025</v>
      </c>
      <c r="D5643">
        <v>6426000</v>
      </c>
      <c r="E5643" t="s">
        <v>188</v>
      </c>
      <c r="F5643">
        <v>5104020103</v>
      </c>
      <c r="G5643" s="13">
        <v>67276.94</v>
      </c>
      <c r="I5643" t="s">
        <v>156</v>
      </c>
      <c r="J5643" t="s">
        <v>950</v>
      </c>
      <c r="K5643" t="s">
        <v>157</v>
      </c>
      <c r="L5643">
        <v>3300049122</v>
      </c>
    </row>
    <row r="5644" spans="3:12">
      <c r="C5644">
        <v>2100300025</v>
      </c>
      <c r="D5644">
        <v>6426000</v>
      </c>
      <c r="E5644" t="s">
        <v>188</v>
      </c>
      <c r="F5644">
        <v>5104020103</v>
      </c>
      <c r="G5644" s="13">
        <v>69935.839999999997</v>
      </c>
      <c r="I5644" t="s">
        <v>156</v>
      </c>
      <c r="J5644" t="s">
        <v>966</v>
      </c>
      <c r="K5644" t="s">
        <v>157</v>
      </c>
      <c r="L5644">
        <v>3300056850</v>
      </c>
    </row>
    <row r="5645" spans="3:12">
      <c r="C5645">
        <v>2100300025</v>
      </c>
      <c r="D5645">
        <v>6426000</v>
      </c>
      <c r="E5645" t="s">
        <v>188</v>
      </c>
      <c r="F5645">
        <v>5104020105</v>
      </c>
      <c r="G5645" s="13">
        <v>9391.41</v>
      </c>
      <c r="I5645" t="s">
        <v>156</v>
      </c>
      <c r="J5645" t="s">
        <v>888</v>
      </c>
      <c r="K5645" t="s">
        <v>83</v>
      </c>
      <c r="L5645">
        <v>3300006594</v>
      </c>
    </row>
    <row r="5646" spans="3:12">
      <c r="C5646">
        <v>2100300025</v>
      </c>
      <c r="D5646">
        <v>6426000</v>
      </c>
      <c r="E5646" t="s">
        <v>188</v>
      </c>
      <c r="F5646">
        <v>5104020105</v>
      </c>
      <c r="G5646" s="13">
        <v>9727.77</v>
      </c>
      <c r="I5646" t="s">
        <v>156</v>
      </c>
      <c r="J5646" t="s">
        <v>896</v>
      </c>
      <c r="K5646" t="s">
        <v>83</v>
      </c>
      <c r="L5646">
        <v>3300012496</v>
      </c>
    </row>
    <row r="5647" spans="3:12">
      <c r="C5647">
        <v>2100300025</v>
      </c>
      <c r="D5647">
        <v>6426000</v>
      </c>
      <c r="E5647" t="s">
        <v>188</v>
      </c>
      <c r="F5647">
        <v>5104020105</v>
      </c>
      <c r="G5647">
        <v>551.04999999999995</v>
      </c>
      <c r="I5647" t="s">
        <v>156</v>
      </c>
      <c r="J5647" t="s">
        <v>901</v>
      </c>
      <c r="K5647" t="s">
        <v>83</v>
      </c>
      <c r="L5647">
        <v>3300012921</v>
      </c>
    </row>
    <row r="5648" spans="3:12">
      <c r="C5648">
        <v>2100300025</v>
      </c>
      <c r="D5648">
        <v>6426000</v>
      </c>
      <c r="E5648" t="s">
        <v>188</v>
      </c>
      <c r="F5648">
        <v>5104020105</v>
      </c>
      <c r="G5648" s="13">
        <v>11703.68</v>
      </c>
      <c r="I5648" t="s">
        <v>156</v>
      </c>
      <c r="J5648" t="s">
        <v>555</v>
      </c>
      <c r="K5648" t="s">
        <v>83</v>
      </c>
      <c r="L5648">
        <v>3300018424</v>
      </c>
    </row>
    <row r="5649" spans="3:12">
      <c r="C5649">
        <v>2100300025</v>
      </c>
      <c r="D5649">
        <v>6426000</v>
      </c>
      <c r="E5649" t="s">
        <v>188</v>
      </c>
      <c r="F5649">
        <v>5104020105</v>
      </c>
      <c r="G5649" s="13">
        <v>11703.68</v>
      </c>
      <c r="I5649" t="s">
        <v>156</v>
      </c>
      <c r="J5649" t="s">
        <v>908</v>
      </c>
      <c r="K5649" t="s">
        <v>83</v>
      </c>
      <c r="L5649">
        <v>3300019735</v>
      </c>
    </row>
    <row r="5650" spans="3:12">
      <c r="C5650">
        <v>2100300025</v>
      </c>
      <c r="D5650">
        <v>6426000</v>
      </c>
      <c r="E5650" t="s">
        <v>188</v>
      </c>
      <c r="F5650">
        <v>5104020105</v>
      </c>
      <c r="G5650">
        <v>551.04999999999995</v>
      </c>
      <c r="I5650" t="s">
        <v>156</v>
      </c>
      <c r="J5650" t="s">
        <v>908</v>
      </c>
      <c r="K5650" t="s">
        <v>83</v>
      </c>
      <c r="L5650">
        <v>3300016876</v>
      </c>
    </row>
    <row r="5651" spans="3:12">
      <c r="C5651">
        <v>2100300025</v>
      </c>
      <c r="D5651">
        <v>6426000</v>
      </c>
      <c r="E5651" t="s">
        <v>188</v>
      </c>
      <c r="F5651">
        <v>5104020105</v>
      </c>
      <c r="G5651">
        <v>551.04999999999995</v>
      </c>
      <c r="I5651" t="s">
        <v>156</v>
      </c>
      <c r="J5651" t="s">
        <v>825</v>
      </c>
      <c r="K5651" t="s">
        <v>83</v>
      </c>
      <c r="L5651">
        <v>3300025058</v>
      </c>
    </row>
    <row r="5652" spans="3:12">
      <c r="C5652">
        <v>2100300025</v>
      </c>
      <c r="D5652">
        <v>6426000</v>
      </c>
      <c r="E5652" t="s">
        <v>188</v>
      </c>
      <c r="F5652">
        <v>5104020105</v>
      </c>
      <c r="G5652">
        <v>551.04999999999995</v>
      </c>
      <c r="I5652" t="s">
        <v>156</v>
      </c>
      <c r="J5652" t="s">
        <v>965</v>
      </c>
      <c r="K5652" t="s">
        <v>83</v>
      </c>
      <c r="L5652">
        <v>3300059539</v>
      </c>
    </row>
    <row r="5653" spans="3:12">
      <c r="C5653">
        <v>2100300025</v>
      </c>
      <c r="D5653">
        <v>6426000</v>
      </c>
      <c r="E5653" t="s">
        <v>188</v>
      </c>
      <c r="F5653">
        <v>5104020105</v>
      </c>
      <c r="G5653">
        <v>551.04999999999995</v>
      </c>
      <c r="I5653" t="s">
        <v>156</v>
      </c>
      <c r="J5653" t="s">
        <v>970</v>
      </c>
      <c r="K5653" t="s">
        <v>83</v>
      </c>
      <c r="L5653">
        <v>3300066218</v>
      </c>
    </row>
    <row r="5654" spans="3:12">
      <c r="C5654">
        <v>2100300025</v>
      </c>
      <c r="D5654">
        <v>6426000</v>
      </c>
      <c r="E5654" t="s">
        <v>188</v>
      </c>
      <c r="F5654">
        <v>5104020106</v>
      </c>
      <c r="G5654" s="13">
        <v>1284</v>
      </c>
      <c r="I5654" t="s">
        <v>156</v>
      </c>
      <c r="J5654" t="s">
        <v>811</v>
      </c>
      <c r="K5654" t="s">
        <v>491</v>
      </c>
      <c r="L5654">
        <v>3300007789</v>
      </c>
    </row>
    <row r="5655" spans="3:12">
      <c r="C5655">
        <v>2100300025</v>
      </c>
      <c r="D5655">
        <v>6426000</v>
      </c>
      <c r="E5655" t="s">
        <v>188</v>
      </c>
      <c r="F5655">
        <v>5104020106</v>
      </c>
      <c r="G5655" s="13">
        <v>1284</v>
      </c>
      <c r="I5655" t="s">
        <v>156</v>
      </c>
      <c r="J5655" t="s">
        <v>898</v>
      </c>
      <c r="K5655" t="s">
        <v>491</v>
      </c>
      <c r="L5655">
        <v>3300014025</v>
      </c>
    </row>
    <row r="5656" spans="3:12">
      <c r="C5656">
        <v>2100300025</v>
      </c>
      <c r="D5656">
        <v>6426000</v>
      </c>
      <c r="E5656" t="s">
        <v>188</v>
      </c>
      <c r="F5656">
        <v>5104020106</v>
      </c>
      <c r="G5656" s="13">
        <v>1284</v>
      </c>
      <c r="I5656" t="s">
        <v>156</v>
      </c>
      <c r="J5656" t="s">
        <v>872</v>
      </c>
      <c r="K5656" t="s">
        <v>491</v>
      </c>
      <c r="L5656">
        <v>3300020108</v>
      </c>
    </row>
    <row r="5657" spans="3:12">
      <c r="C5657">
        <v>2100300025</v>
      </c>
      <c r="D5657">
        <v>6426000</v>
      </c>
      <c r="E5657" t="s">
        <v>188</v>
      </c>
      <c r="F5657">
        <v>5104020106</v>
      </c>
      <c r="G5657" s="13">
        <v>12840</v>
      </c>
      <c r="I5657" t="s">
        <v>156</v>
      </c>
      <c r="J5657" t="s">
        <v>909</v>
      </c>
      <c r="K5657" t="s">
        <v>491</v>
      </c>
      <c r="L5657">
        <v>3300017548</v>
      </c>
    </row>
    <row r="5658" spans="3:12">
      <c r="C5658">
        <v>2100300025</v>
      </c>
      <c r="D5658">
        <v>6426000</v>
      </c>
      <c r="E5658" t="s">
        <v>188</v>
      </c>
      <c r="F5658">
        <v>5104020106</v>
      </c>
      <c r="G5658" s="13">
        <v>12840</v>
      </c>
      <c r="I5658" t="s">
        <v>156</v>
      </c>
      <c r="J5658" t="s">
        <v>825</v>
      </c>
      <c r="K5658" t="s">
        <v>491</v>
      </c>
      <c r="L5658">
        <v>3300019466</v>
      </c>
    </row>
    <row r="5659" spans="3:12">
      <c r="C5659">
        <v>2100300025</v>
      </c>
      <c r="D5659">
        <v>6426000</v>
      </c>
      <c r="E5659" t="s">
        <v>188</v>
      </c>
      <c r="F5659">
        <v>5104020106</v>
      </c>
      <c r="G5659" s="13">
        <v>2675</v>
      </c>
      <c r="I5659" t="s">
        <v>156</v>
      </c>
      <c r="J5659" t="s">
        <v>828</v>
      </c>
      <c r="K5659" t="s">
        <v>491</v>
      </c>
      <c r="L5659">
        <v>3300028353</v>
      </c>
    </row>
    <row r="5660" spans="3:12">
      <c r="C5660">
        <v>2100300025</v>
      </c>
      <c r="D5660">
        <v>6426000</v>
      </c>
      <c r="E5660" t="s">
        <v>188</v>
      </c>
      <c r="F5660">
        <v>5104020106</v>
      </c>
      <c r="G5660" s="13">
        <v>12840</v>
      </c>
      <c r="I5660" t="s">
        <v>156</v>
      </c>
      <c r="J5660" t="s">
        <v>925</v>
      </c>
      <c r="K5660" t="s">
        <v>491</v>
      </c>
      <c r="L5660">
        <v>3300029456</v>
      </c>
    </row>
    <row r="5661" spans="3:12">
      <c r="C5661">
        <v>2100300025</v>
      </c>
      <c r="D5661">
        <v>6426000</v>
      </c>
      <c r="E5661" t="s">
        <v>188</v>
      </c>
      <c r="F5661">
        <v>5104020106</v>
      </c>
      <c r="G5661" s="13">
        <v>12840</v>
      </c>
      <c r="I5661" t="s">
        <v>156</v>
      </c>
      <c r="J5661" t="s">
        <v>841</v>
      </c>
      <c r="K5661" t="s">
        <v>491</v>
      </c>
      <c r="L5661">
        <v>3300046724</v>
      </c>
    </row>
    <row r="5662" spans="3:12">
      <c r="C5662">
        <v>2100300025</v>
      </c>
      <c r="D5662">
        <v>6426000</v>
      </c>
      <c r="E5662" t="s">
        <v>188</v>
      </c>
      <c r="F5662">
        <v>5104020106</v>
      </c>
      <c r="G5662" s="13">
        <v>12840</v>
      </c>
      <c r="I5662" t="s">
        <v>156</v>
      </c>
      <c r="J5662" t="s">
        <v>945</v>
      </c>
      <c r="K5662" t="s">
        <v>491</v>
      </c>
      <c r="L5662">
        <v>3300047820</v>
      </c>
    </row>
    <row r="5663" spans="3:12">
      <c r="C5663">
        <v>2100300025</v>
      </c>
      <c r="D5663">
        <v>6426000</v>
      </c>
      <c r="E5663" t="s">
        <v>188</v>
      </c>
      <c r="F5663">
        <v>5104020106</v>
      </c>
      <c r="G5663" s="13">
        <v>2675</v>
      </c>
      <c r="I5663" t="s">
        <v>156</v>
      </c>
      <c r="J5663" t="s">
        <v>947</v>
      </c>
      <c r="K5663" t="s">
        <v>491</v>
      </c>
      <c r="L5663">
        <v>3300050836</v>
      </c>
    </row>
    <row r="5664" spans="3:12">
      <c r="C5664">
        <v>2100300025</v>
      </c>
      <c r="D5664">
        <v>6426000</v>
      </c>
      <c r="E5664" t="s">
        <v>188</v>
      </c>
      <c r="F5664">
        <v>5104020106</v>
      </c>
      <c r="G5664" s="13">
        <v>1284</v>
      </c>
      <c r="I5664" t="s">
        <v>156</v>
      </c>
      <c r="J5664" t="s">
        <v>955</v>
      </c>
      <c r="K5664" t="s">
        <v>491</v>
      </c>
      <c r="L5664">
        <v>3300054501</v>
      </c>
    </row>
    <row r="5665" spans="3:12">
      <c r="C5665">
        <v>2100300025</v>
      </c>
      <c r="D5665">
        <v>6426000</v>
      </c>
      <c r="E5665" t="s">
        <v>188</v>
      </c>
      <c r="F5665">
        <v>5104020106</v>
      </c>
      <c r="G5665" s="13">
        <v>2675</v>
      </c>
      <c r="I5665" t="s">
        <v>156</v>
      </c>
      <c r="J5665" t="s">
        <v>966</v>
      </c>
      <c r="K5665" t="s">
        <v>491</v>
      </c>
      <c r="L5665">
        <v>3300056924</v>
      </c>
    </row>
    <row r="5666" spans="3:12">
      <c r="C5666">
        <v>2100300025</v>
      </c>
      <c r="D5666">
        <v>6426000</v>
      </c>
      <c r="E5666" t="s">
        <v>188</v>
      </c>
      <c r="F5666">
        <v>5104020106</v>
      </c>
      <c r="G5666" s="13">
        <v>1284</v>
      </c>
      <c r="I5666" t="s">
        <v>156</v>
      </c>
      <c r="J5666" t="s">
        <v>969</v>
      </c>
      <c r="K5666" t="s">
        <v>491</v>
      </c>
      <c r="L5666">
        <v>3300067015</v>
      </c>
    </row>
    <row r="5667" spans="3:12">
      <c r="C5667">
        <v>2100300025</v>
      </c>
      <c r="D5667">
        <v>6426000</v>
      </c>
      <c r="E5667" t="s">
        <v>188</v>
      </c>
      <c r="F5667">
        <v>5104020106</v>
      </c>
      <c r="G5667" s="13">
        <v>1284</v>
      </c>
      <c r="I5667" t="s">
        <v>156</v>
      </c>
      <c r="J5667" t="s">
        <v>859</v>
      </c>
      <c r="K5667" t="s">
        <v>491</v>
      </c>
      <c r="L5667">
        <v>3300063758</v>
      </c>
    </row>
    <row r="5668" spans="3:12">
      <c r="C5668">
        <v>2100300025</v>
      </c>
      <c r="D5668">
        <v>6426000</v>
      </c>
      <c r="E5668" t="s">
        <v>188</v>
      </c>
      <c r="F5668">
        <v>5104020106</v>
      </c>
      <c r="G5668" s="13">
        <v>12840</v>
      </c>
      <c r="I5668" t="s">
        <v>156</v>
      </c>
      <c r="J5668" t="s">
        <v>859</v>
      </c>
      <c r="K5668" t="s">
        <v>491</v>
      </c>
      <c r="L5668">
        <v>3300061528</v>
      </c>
    </row>
    <row r="5669" spans="3:12">
      <c r="C5669">
        <v>2100300025</v>
      </c>
      <c r="D5669">
        <v>6426000</v>
      </c>
      <c r="E5669" t="s">
        <v>188</v>
      </c>
      <c r="F5669">
        <v>5104020106</v>
      </c>
      <c r="G5669" s="13">
        <v>12840</v>
      </c>
      <c r="I5669" t="s">
        <v>156</v>
      </c>
      <c r="J5669" t="s">
        <v>863</v>
      </c>
      <c r="K5669" t="s">
        <v>491</v>
      </c>
      <c r="L5669">
        <v>3300078818</v>
      </c>
    </row>
    <row r="5670" spans="3:12">
      <c r="C5670">
        <v>2100300025</v>
      </c>
      <c r="D5670">
        <v>6426000</v>
      </c>
      <c r="E5670" t="s">
        <v>188</v>
      </c>
      <c r="F5670">
        <v>5104020107</v>
      </c>
      <c r="G5670">
        <v>410</v>
      </c>
      <c r="I5670" t="s">
        <v>156</v>
      </c>
      <c r="J5670" t="s">
        <v>887</v>
      </c>
      <c r="K5670" t="s">
        <v>158</v>
      </c>
      <c r="L5670">
        <v>3300005211</v>
      </c>
    </row>
    <row r="5671" spans="3:12">
      <c r="C5671">
        <v>2100300025</v>
      </c>
      <c r="D5671">
        <v>6426000</v>
      </c>
      <c r="E5671" t="s">
        <v>188</v>
      </c>
      <c r="F5671">
        <v>5104020107</v>
      </c>
      <c r="G5671" s="13">
        <v>25892</v>
      </c>
      <c r="I5671" t="s">
        <v>156</v>
      </c>
      <c r="J5671" t="s">
        <v>915</v>
      </c>
      <c r="K5671" t="s">
        <v>158</v>
      </c>
      <c r="L5671">
        <v>3300024606</v>
      </c>
    </row>
    <row r="5672" spans="3:12">
      <c r="C5672">
        <v>2100300025</v>
      </c>
      <c r="D5672">
        <v>6426000</v>
      </c>
      <c r="E5672" t="s">
        <v>188</v>
      </c>
      <c r="F5672">
        <v>5104020107</v>
      </c>
      <c r="G5672" s="13">
        <v>24268</v>
      </c>
      <c r="I5672" t="s">
        <v>156</v>
      </c>
      <c r="J5672" t="s">
        <v>561</v>
      </c>
      <c r="K5672" t="s">
        <v>158</v>
      </c>
      <c r="L5672">
        <v>3300043389</v>
      </c>
    </row>
    <row r="5673" spans="3:12">
      <c r="C5673">
        <v>2100300025</v>
      </c>
      <c r="D5673">
        <v>6426000</v>
      </c>
      <c r="E5673" t="s">
        <v>188</v>
      </c>
      <c r="F5673">
        <v>5104020107</v>
      </c>
      <c r="G5673">
        <v>70</v>
      </c>
      <c r="I5673" t="s">
        <v>156</v>
      </c>
      <c r="J5673" t="s">
        <v>952</v>
      </c>
      <c r="K5673" t="s">
        <v>158</v>
      </c>
      <c r="L5673">
        <v>3300051532</v>
      </c>
    </row>
    <row r="5674" spans="3:12">
      <c r="C5674">
        <v>2100300025</v>
      </c>
      <c r="D5674">
        <v>6426000</v>
      </c>
      <c r="E5674" t="s">
        <v>188</v>
      </c>
      <c r="F5674">
        <v>5104020107</v>
      </c>
      <c r="G5674" s="13">
        <v>5642</v>
      </c>
      <c r="I5674" t="s">
        <v>156</v>
      </c>
      <c r="J5674" t="s">
        <v>953</v>
      </c>
      <c r="K5674" t="s">
        <v>158</v>
      </c>
      <c r="L5674">
        <v>3300054721</v>
      </c>
    </row>
    <row r="5675" spans="3:12">
      <c r="C5675">
        <v>2100300025</v>
      </c>
      <c r="D5675">
        <v>6426000</v>
      </c>
      <c r="E5675" t="s">
        <v>188</v>
      </c>
      <c r="F5675">
        <v>5104020107</v>
      </c>
      <c r="G5675" s="13">
        <v>16971</v>
      </c>
      <c r="I5675" t="s">
        <v>156</v>
      </c>
      <c r="J5675" t="s">
        <v>976</v>
      </c>
      <c r="K5675" t="s">
        <v>158</v>
      </c>
      <c r="L5675">
        <v>3300065073</v>
      </c>
    </row>
    <row r="5676" spans="3:12">
      <c r="C5676">
        <v>2100300025</v>
      </c>
      <c r="D5676">
        <v>6426000</v>
      </c>
      <c r="E5676" t="s">
        <v>188</v>
      </c>
      <c r="F5676">
        <v>5104030206</v>
      </c>
      <c r="G5676" s="13">
        <v>4470</v>
      </c>
      <c r="I5676" t="s">
        <v>156</v>
      </c>
      <c r="J5676" t="s">
        <v>941</v>
      </c>
      <c r="K5676" t="s">
        <v>522</v>
      </c>
      <c r="L5676">
        <v>3300042057</v>
      </c>
    </row>
    <row r="5677" spans="3:12">
      <c r="C5677">
        <v>2100300025</v>
      </c>
      <c r="D5677">
        <v>6426000</v>
      </c>
      <c r="E5677" t="s">
        <v>188</v>
      </c>
      <c r="F5677">
        <v>5104030206</v>
      </c>
      <c r="G5677" s="13">
        <v>2100</v>
      </c>
      <c r="I5677" t="s">
        <v>156</v>
      </c>
      <c r="J5677" t="s">
        <v>952</v>
      </c>
      <c r="K5677" t="s">
        <v>522</v>
      </c>
      <c r="L5677">
        <v>3300050353</v>
      </c>
    </row>
    <row r="5678" spans="3:12">
      <c r="C5678">
        <v>2100300025</v>
      </c>
      <c r="D5678">
        <v>6426000</v>
      </c>
      <c r="E5678" t="s">
        <v>188</v>
      </c>
      <c r="F5678">
        <v>5104030206</v>
      </c>
      <c r="G5678" s="13">
        <v>1940</v>
      </c>
      <c r="I5678" t="s">
        <v>156</v>
      </c>
      <c r="J5678" t="s">
        <v>859</v>
      </c>
      <c r="K5678" t="s">
        <v>522</v>
      </c>
      <c r="L5678">
        <v>3300063928</v>
      </c>
    </row>
    <row r="5679" spans="3:12">
      <c r="C5679">
        <v>2100300025</v>
      </c>
      <c r="D5679">
        <v>6426000</v>
      </c>
      <c r="E5679" t="s">
        <v>188</v>
      </c>
      <c r="F5679">
        <v>5104030206</v>
      </c>
      <c r="G5679" s="13">
        <v>2080</v>
      </c>
      <c r="I5679" t="s">
        <v>156</v>
      </c>
      <c r="J5679" t="s">
        <v>972</v>
      </c>
      <c r="K5679" t="s">
        <v>522</v>
      </c>
      <c r="L5679">
        <v>3300065562</v>
      </c>
    </row>
    <row r="5680" spans="3:12">
      <c r="C5680">
        <v>2100300025</v>
      </c>
      <c r="D5680">
        <v>6426000</v>
      </c>
      <c r="E5680" t="s">
        <v>188</v>
      </c>
      <c r="F5680">
        <v>5104030206</v>
      </c>
      <c r="G5680" s="13">
        <v>3600</v>
      </c>
      <c r="I5680" t="s">
        <v>156</v>
      </c>
      <c r="J5680" t="s">
        <v>985</v>
      </c>
      <c r="K5680" t="s">
        <v>522</v>
      </c>
      <c r="L5680">
        <v>3300076871</v>
      </c>
    </row>
    <row r="5681" spans="3:12">
      <c r="C5681">
        <v>2100300025</v>
      </c>
      <c r="D5681">
        <v>6426000</v>
      </c>
      <c r="E5681" t="s">
        <v>188</v>
      </c>
      <c r="F5681">
        <v>5104030206</v>
      </c>
      <c r="G5681" s="13">
        <v>3690</v>
      </c>
      <c r="I5681" t="s">
        <v>156</v>
      </c>
      <c r="J5681" t="s">
        <v>985</v>
      </c>
      <c r="K5681" t="s">
        <v>522</v>
      </c>
      <c r="L5681">
        <v>3300077605</v>
      </c>
    </row>
    <row r="5682" spans="3:12">
      <c r="C5682">
        <v>2100300025</v>
      </c>
      <c r="D5682">
        <v>6426000</v>
      </c>
      <c r="E5682" t="s">
        <v>188</v>
      </c>
      <c r="F5682">
        <v>5104030206</v>
      </c>
      <c r="G5682" s="13">
        <v>2600</v>
      </c>
      <c r="I5682" t="s">
        <v>156</v>
      </c>
      <c r="J5682" t="s">
        <v>986</v>
      </c>
      <c r="K5682" t="s">
        <v>522</v>
      </c>
      <c r="L5682">
        <v>3300079333</v>
      </c>
    </row>
    <row r="5683" spans="3:12">
      <c r="C5683">
        <v>2100300025</v>
      </c>
      <c r="D5683">
        <v>6426000</v>
      </c>
      <c r="E5683" t="s">
        <v>188</v>
      </c>
      <c r="F5683">
        <v>5104020106</v>
      </c>
      <c r="G5683" s="13">
        <v>1284</v>
      </c>
      <c r="I5683" t="s">
        <v>156</v>
      </c>
      <c r="J5683" t="s">
        <v>843</v>
      </c>
      <c r="K5683" t="s">
        <v>491</v>
      </c>
      <c r="L5683">
        <v>3300046337</v>
      </c>
    </row>
    <row r="5684" spans="3:12">
      <c r="C5684">
        <v>2100300025</v>
      </c>
      <c r="D5684">
        <v>6426000</v>
      </c>
      <c r="E5684" t="s">
        <v>188</v>
      </c>
      <c r="F5684">
        <v>5104020106</v>
      </c>
      <c r="G5684" s="13">
        <v>12840</v>
      </c>
      <c r="I5684" t="s">
        <v>156</v>
      </c>
      <c r="J5684" t="s">
        <v>957</v>
      </c>
      <c r="K5684" t="s">
        <v>491</v>
      </c>
      <c r="L5684">
        <v>3300053191</v>
      </c>
    </row>
    <row r="5685" spans="3:12">
      <c r="C5685">
        <v>2100300025</v>
      </c>
      <c r="D5685">
        <v>6426000</v>
      </c>
      <c r="E5685" t="s">
        <v>188</v>
      </c>
      <c r="F5685">
        <v>5104020106</v>
      </c>
      <c r="G5685" s="13">
        <v>12840</v>
      </c>
      <c r="I5685" t="s">
        <v>156</v>
      </c>
      <c r="J5685" t="s">
        <v>969</v>
      </c>
      <c r="K5685" t="s">
        <v>491</v>
      </c>
      <c r="L5685">
        <v>3300066322</v>
      </c>
    </row>
    <row r="5686" spans="3:12">
      <c r="C5686">
        <v>2100300025</v>
      </c>
      <c r="D5686">
        <v>6426000</v>
      </c>
      <c r="E5686" t="s">
        <v>188</v>
      </c>
      <c r="F5686">
        <v>5104020106</v>
      </c>
      <c r="G5686" s="13">
        <v>2675</v>
      </c>
      <c r="I5686" t="s">
        <v>156</v>
      </c>
      <c r="J5686" t="s">
        <v>976</v>
      </c>
      <c r="K5686" t="s">
        <v>491</v>
      </c>
      <c r="L5686">
        <v>3300065075</v>
      </c>
    </row>
    <row r="5687" spans="3:12">
      <c r="C5687">
        <v>2100300025</v>
      </c>
      <c r="D5687">
        <v>6426000</v>
      </c>
      <c r="E5687" t="s">
        <v>188</v>
      </c>
      <c r="F5687">
        <v>5104020106</v>
      </c>
      <c r="G5687" s="13">
        <v>2675</v>
      </c>
      <c r="I5687" t="s">
        <v>156</v>
      </c>
      <c r="J5687" t="s">
        <v>862</v>
      </c>
      <c r="K5687" t="s">
        <v>491</v>
      </c>
      <c r="L5687">
        <v>3300070325</v>
      </c>
    </row>
    <row r="5688" spans="3:12">
      <c r="C5688">
        <v>2100300025</v>
      </c>
      <c r="D5688">
        <v>6426000</v>
      </c>
      <c r="E5688" t="s">
        <v>188</v>
      </c>
      <c r="F5688">
        <v>5104020106</v>
      </c>
      <c r="G5688" s="13">
        <v>2675</v>
      </c>
      <c r="I5688" t="s">
        <v>156</v>
      </c>
      <c r="J5688" t="s">
        <v>591</v>
      </c>
      <c r="K5688" t="s">
        <v>491</v>
      </c>
      <c r="L5688">
        <v>3300081058</v>
      </c>
    </row>
    <row r="5689" spans="3:12">
      <c r="C5689">
        <v>2100300025</v>
      </c>
      <c r="D5689">
        <v>6426000</v>
      </c>
      <c r="E5689" t="s">
        <v>188</v>
      </c>
      <c r="F5689">
        <v>5104020107</v>
      </c>
      <c r="G5689" s="13">
        <v>1385</v>
      </c>
      <c r="I5689" t="s">
        <v>156</v>
      </c>
      <c r="J5689" t="s">
        <v>875</v>
      </c>
      <c r="K5689" t="s">
        <v>158</v>
      </c>
      <c r="L5689">
        <v>3300000727</v>
      </c>
    </row>
    <row r="5690" spans="3:12">
      <c r="C5690">
        <v>2100300025</v>
      </c>
      <c r="D5690">
        <v>6426000</v>
      </c>
      <c r="E5690" t="s">
        <v>188</v>
      </c>
      <c r="F5690">
        <v>5104020107</v>
      </c>
      <c r="G5690" s="13">
        <v>34307</v>
      </c>
      <c r="I5690" t="s">
        <v>156</v>
      </c>
      <c r="J5690" t="s">
        <v>883</v>
      </c>
      <c r="K5690" t="s">
        <v>158</v>
      </c>
      <c r="L5690">
        <v>3300004849</v>
      </c>
    </row>
    <row r="5691" spans="3:12">
      <c r="C5691">
        <v>2100300025</v>
      </c>
      <c r="D5691">
        <v>6426000</v>
      </c>
      <c r="E5691" t="s">
        <v>188</v>
      </c>
      <c r="F5691">
        <v>5104020107</v>
      </c>
      <c r="G5691">
        <v>515</v>
      </c>
      <c r="I5691" t="s">
        <v>156</v>
      </c>
      <c r="J5691" t="s">
        <v>814</v>
      </c>
      <c r="K5691" t="s">
        <v>158</v>
      </c>
      <c r="L5691">
        <v>3300009038</v>
      </c>
    </row>
    <row r="5692" spans="3:12">
      <c r="C5692">
        <v>2100300025</v>
      </c>
      <c r="D5692">
        <v>6426000</v>
      </c>
      <c r="E5692" t="s">
        <v>188</v>
      </c>
      <c r="F5692">
        <v>5104020107</v>
      </c>
      <c r="G5692" s="13">
        <v>26305</v>
      </c>
      <c r="I5692" t="s">
        <v>156</v>
      </c>
      <c r="J5692" t="s">
        <v>814</v>
      </c>
      <c r="K5692" t="s">
        <v>158</v>
      </c>
      <c r="L5692">
        <v>3300007845</v>
      </c>
    </row>
    <row r="5693" spans="3:12">
      <c r="C5693">
        <v>2100300025</v>
      </c>
      <c r="D5693">
        <v>6426000</v>
      </c>
      <c r="E5693" t="s">
        <v>188</v>
      </c>
      <c r="F5693">
        <v>5104020107</v>
      </c>
      <c r="G5693">
        <v>925</v>
      </c>
      <c r="I5693" t="s">
        <v>156</v>
      </c>
      <c r="J5693" t="s">
        <v>822</v>
      </c>
      <c r="K5693" t="s">
        <v>158</v>
      </c>
      <c r="L5693">
        <v>3300017274</v>
      </c>
    </row>
    <row r="5694" spans="3:12">
      <c r="C5694">
        <v>2100300025</v>
      </c>
      <c r="D5694">
        <v>6426000</v>
      </c>
      <c r="E5694" t="s">
        <v>188</v>
      </c>
      <c r="F5694">
        <v>5104020107</v>
      </c>
      <c r="G5694" s="13">
        <v>31111</v>
      </c>
      <c r="I5694" t="s">
        <v>156</v>
      </c>
      <c r="J5694" t="s">
        <v>822</v>
      </c>
      <c r="K5694" t="s">
        <v>158</v>
      </c>
      <c r="L5694">
        <v>3300017462</v>
      </c>
    </row>
    <row r="5695" spans="3:12">
      <c r="C5695">
        <v>2100300025</v>
      </c>
      <c r="D5695">
        <v>6426000</v>
      </c>
      <c r="E5695" t="s">
        <v>188</v>
      </c>
      <c r="F5695">
        <v>5104020107</v>
      </c>
      <c r="G5695">
        <v>372</v>
      </c>
      <c r="I5695" t="s">
        <v>156</v>
      </c>
      <c r="J5695" t="s">
        <v>920</v>
      </c>
      <c r="K5695" t="s">
        <v>158</v>
      </c>
      <c r="L5695">
        <v>3300024372</v>
      </c>
    </row>
    <row r="5696" spans="3:12">
      <c r="C5696">
        <v>2100300025</v>
      </c>
      <c r="D5696">
        <v>6426000</v>
      </c>
      <c r="E5696" t="s">
        <v>188</v>
      </c>
      <c r="F5696">
        <v>5104020107</v>
      </c>
      <c r="G5696">
        <v>250</v>
      </c>
      <c r="I5696" t="s">
        <v>156</v>
      </c>
      <c r="J5696" t="s">
        <v>920</v>
      </c>
      <c r="K5696" t="s">
        <v>158</v>
      </c>
      <c r="L5696">
        <v>3300024373</v>
      </c>
    </row>
    <row r="5697" spans="3:12">
      <c r="C5697">
        <v>2100300025</v>
      </c>
      <c r="D5697">
        <v>6426000</v>
      </c>
      <c r="E5697" t="s">
        <v>188</v>
      </c>
      <c r="F5697">
        <v>5104020107</v>
      </c>
      <c r="G5697">
        <v>186</v>
      </c>
      <c r="I5697" t="s">
        <v>156</v>
      </c>
      <c r="J5697" t="s">
        <v>927</v>
      </c>
      <c r="K5697" t="s">
        <v>158</v>
      </c>
      <c r="L5697">
        <v>3300029626</v>
      </c>
    </row>
    <row r="5698" spans="3:12">
      <c r="C5698">
        <v>2100300025</v>
      </c>
      <c r="D5698">
        <v>6426000</v>
      </c>
      <c r="E5698" t="s">
        <v>188</v>
      </c>
      <c r="F5698">
        <v>5104020107</v>
      </c>
      <c r="G5698" s="13">
        <v>27431</v>
      </c>
      <c r="I5698" t="s">
        <v>156</v>
      </c>
      <c r="J5698" t="s">
        <v>927</v>
      </c>
      <c r="K5698" t="s">
        <v>158</v>
      </c>
      <c r="L5698">
        <v>3300024677</v>
      </c>
    </row>
    <row r="5699" spans="3:12">
      <c r="C5699">
        <v>2100300025</v>
      </c>
      <c r="D5699">
        <v>6426000</v>
      </c>
      <c r="E5699" t="s">
        <v>188</v>
      </c>
      <c r="F5699">
        <v>5104020107</v>
      </c>
      <c r="G5699" s="13">
        <v>13196</v>
      </c>
      <c r="I5699" t="s">
        <v>156</v>
      </c>
      <c r="J5699" t="s">
        <v>957</v>
      </c>
      <c r="K5699" t="s">
        <v>158</v>
      </c>
      <c r="L5699">
        <v>3300053346</v>
      </c>
    </row>
    <row r="5700" spans="3:12">
      <c r="C5700">
        <v>2100300025</v>
      </c>
      <c r="D5700">
        <v>6426000</v>
      </c>
      <c r="E5700" t="s">
        <v>188</v>
      </c>
      <c r="F5700">
        <v>5104020107</v>
      </c>
      <c r="G5700" s="13">
        <v>1895</v>
      </c>
      <c r="I5700" t="s">
        <v>156</v>
      </c>
      <c r="J5700" t="s">
        <v>960</v>
      </c>
      <c r="K5700" t="s">
        <v>158</v>
      </c>
      <c r="L5700">
        <v>3300055264</v>
      </c>
    </row>
    <row r="5701" spans="3:12">
      <c r="C5701">
        <v>2100300025</v>
      </c>
      <c r="D5701">
        <v>6426000</v>
      </c>
      <c r="E5701" t="s">
        <v>188</v>
      </c>
      <c r="F5701">
        <v>5104020107</v>
      </c>
      <c r="G5701" s="13">
        <v>2046</v>
      </c>
      <c r="I5701" t="s">
        <v>156</v>
      </c>
      <c r="J5701" t="s">
        <v>965</v>
      </c>
      <c r="K5701" t="s">
        <v>158</v>
      </c>
      <c r="L5701">
        <v>3300059430</v>
      </c>
    </row>
    <row r="5702" spans="3:12">
      <c r="C5702">
        <v>2100300025</v>
      </c>
      <c r="D5702">
        <v>6426000</v>
      </c>
      <c r="E5702" t="s">
        <v>188</v>
      </c>
      <c r="F5702">
        <v>5104020107</v>
      </c>
      <c r="G5702" s="13">
        <v>21912</v>
      </c>
      <c r="I5702" t="s">
        <v>156</v>
      </c>
      <c r="J5702" t="s">
        <v>965</v>
      </c>
      <c r="K5702" t="s">
        <v>158</v>
      </c>
      <c r="L5702">
        <v>3300059095</v>
      </c>
    </row>
    <row r="5703" spans="3:12">
      <c r="C5703">
        <v>2100300025</v>
      </c>
      <c r="D5703">
        <v>6426000</v>
      </c>
      <c r="E5703" t="s">
        <v>188</v>
      </c>
      <c r="F5703">
        <v>5104020107</v>
      </c>
      <c r="G5703" s="13">
        <v>3120</v>
      </c>
      <c r="I5703" t="s">
        <v>156</v>
      </c>
      <c r="J5703" t="s">
        <v>861</v>
      </c>
      <c r="K5703" t="s">
        <v>158</v>
      </c>
      <c r="L5703">
        <v>3300064859</v>
      </c>
    </row>
    <row r="5704" spans="3:12">
      <c r="C5704">
        <v>2100300025</v>
      </c>
      <c r="D5704">
        <v>6426000</v>
      </c>
      <c r="E5704" t="s">
        <v>188</v>
      </c>
      <c r="F5704">
        <v>5104020107</v>
      </c>
      <c r="G5704" s="13">
        <v>6758</v>
      </c>
      <c r="I5704" t="s">
        <v>156</v>
      </c>
      <c r="J5704" t="s">
        <v>976</v>
      </c>
      <c r="K5704" t="s">
        <v>158</v>
      </c>
      <c r="L5704">
        <v>3300061716</v>
      </c>
    </row>
    <row r="5705" spans="3:12">
      <c r="C5705">
        <v>2100300025</v>
      </c>
      <c r="D5705">
        <v>6426000</v>
      </c>
      <c r="E5705" t="s">
        <v>188</v>
      </c>
      <c r="F5705">
        <v>5104030206</v>
      </c>
      <c r="G5705">
        <v>374.5</v>
      </c>
      <c r="I5705" t="s">
        <v>156</v>
      </c>
      <c r="J5705" t="s">
        <v>900</v>
      </c>
      <c r="K5705" t="s">
        <v>522</v>
      </c>
      <c r="L5705">
        <v>3300009720</v>
      </c>
    </row>
    <row r="5706" spans="3:12">
      <c r="C5706">
        <v>2100300025</v>
      </c>
      <c r="D5706">
        <v>6426000</v>
      </c>
      <c r="E5706" t="s">
        <v>188</v>
      </c>
      <c r="F5706">
        <v>5104030206</v>
      </c>
      <c r="G5706" s="13">
        <v>3870</v>
      </c>
      <c r="I5706" t="s">
        <v>156</v>
      </c>
      <c r="J5706" t="s">
        <v>940</v>
      </c>
      <c r="K5706" t="s">
        <v>522</v>
      </c>
      <c r="L5706">
        <v>3300044558</v>
      </c>
    </row>
    <row r="5707" spans="3:12">
      <c r="C5707">
        <v>2100300025</v>
      </c>
      <c r="D5707">
        <v>6426000</v>
      </c>
      <c r="E5707" t="s">
        <v>188</v>
      </c>
      <c r="F5707">
        <v>5104030206</v>
      </c>
      <c r="G5707" s="13">
        <v>2600</v>
      </c>
      <c r="I5707" t="s">
        <v>156</v>
      </c>
      <c r="J5707" t="s">
        <v>958</v>
      </c>
      <c r="K5707" t="s">
        <v>522</v>
      </c>
      <c r="L5707">
        <v>3300058802</v>
      </c>
    </row>
    <row r="5708" spans="3:12">
      <c r="C5708">
        <v>2100300025</v>
      </c>
      <c r="D5708">
        <v>6426000</v>
      </c>
      <c r="E5708" t="s">
        <v>188</v>
      </c>
      <c r="F5708">
        <v>5104030206</v>
      </c>
      <c r="G5708" s="13">
        <v>2500</v>
      </c>
      <c r="I5708" t="s">
        <v>156</v>
      </c>
      <c r="J5708" t="s">
        <v>979</v>
      </c>
      <c r="K5708" t="s">
        <v>522</v>
      </c>
      <c r="L5708">
        <v>3300073584</v>
      </c>
    </row>
    <row r="5709" spans="3:12">
      <c r="C5709">
        <v>2100300025</v>
      </c>
      <c r="D5709">
        <v>6426000</v>
      </c>
      <c r="E5709" t="s">
        <v>188</v>
      </c>
      <c r="F5709">
        <v>5104030206</v>
      </c>
      <c r="G5709" s="13">
        <v>4770</v>
      </c>
      <c r="I5709" t="s">
        <v>156</v>
      </c>
      <c r="J5709" t="s">
        <v>978</v>
      </c>
      <c r="K5709" t="s">
        <v>522</v>
      </c>
      <c r="L5709">
        <v>3300079420</v>
      </c>
    </row>
    <row r="5710" spans="3:12">
      <c r="C5710">
        <v>2100300025</v>
      </c>
      <c r="D5710">
        <v>6426000</v>
      </c>
      <c r="E5710" t="s">
        <v>188</v>
      </c>
      <c r="F5710">
        <v>5104030206</v>
      </c>
      <c r="G5710" s="13">
        <v>3600</v>
      </c>
      <c r="I5710" t="s">
        <v>156</v>
      </c>
      <c r="J5710" t="s">
        <v>984</v>
      </c>
      <c r="K5710" t="s">
        <v>522</v>
      </c>
      <c r="L5710">
        <v>3300078404</v>
      </c>
    </row>
    <row r="5711" spans="3:12">
      <c r="C5711">
        <v>2100300025</v>
      </c>
      <c r="D5711">
        <v>6426000</v>
      </c>
      <c r="E5711" t="s">
        <v>188</v>
      </c>
      <c r="F5711">
        <v>5104030212</v>
      </c>
      <c r="G5711" s="13">
        <v>2000</v>
      </c>
      <c r="I5711" t="s">
        <v>156</v>
      </c>
      <c r="J5711" t="s">
        <v>559</v>
      </c>
      <c r="K5711" t="s">
        <v>1044</v>
      </c>
      <c r="L5711">
        <v>3300053063</v>
      </c>
    </row>
    <row r="5712" spans="3:12">
      <c r="C5712">
        <v>2100300025</v>
      </c>
      <c r="D5712">
        <v>6426000</v>
      </c>
      <c r="E5712" t="s">
        <v>188</v>
      </c>
      <c r="F5712">
        <v>5104030212</v>
      </c>
      <c r="G5712" s="13">
        <v>2000</v>
      </c>
      <c r="I5712" t="s">
        <v>156</v>
      </c>
      <c r="J5712" t="s">
        <v>873</v>
      </c>
      <c r="K5712" t="s">
        <v>1044</v>
      </c>
      <c r="L5712">
        <v>3300058362</v>
      </c>
    </row>
    <row r="5713" spans="3:12">
      <c r="C5713">
        <v>2100300025</v>
      </c>
      <c r="D5713">
        <v>6426000</v>
      </c>
      <c r="E5713" t="s">
        <v>188</v>
      </c>
      <c r="F5713">
        <v>5104030212</v>
      </c>
      <c r="G5713" s="13">
        <v>2000</v>
      </c>
      <c r="I5713" t="s">
        <v>156</v>
      </c>
      <c r="J5713" t="s">
        <v>980</v>
      </c>
      <c r="K5713" t="s">
        <v>1044</v>
      </c>
      <c r="L5713">
        <v>3300075936</v>
      </c>
    </row>
    <row r="5714" spans="3:12">
      <c r="C5714">
        <v>2100300025</v>
      </c>
      <c r="D5714">
        <v>6426000</v>
      </c>
      <c r="E5714" t="s">
        <v>188</v>
      </c>
      <c r="F5714">
        <v>5104030219</v>
      </c>
      <c r="G5714" s="13">
        <v>2500</v>
      </c>
      <c r="I5714" t="s">
        <v>156</v>
      </c>
      <c r="J5714" t="s">
        <v>875</v>
      </c>
      <c r="K5714" t="s">
        <v>91</v>
      </c>
      <c r="L5714">
        <v>3300000970</v>
      </c>
    </row>
    <row r="5715" spans="3:12">
      <c r="C5715">
        <v>2100300025</v>
      </c>
      <c r="D5715">
        <v>6426000</v>
      </c>
      <c r="E5715" t="s">
        <v>188</v>
      </c>
      <c r="F5715">
        <v>5104030219</v>
      </c>
      <c r="G5715" s="13">
        <v>3000</v>
      </c>
      <c r="I5715" t="s">
        <v>156</v>
      </c>
      <c r="J5715" t="s">
        <v>875</v>
      </c>
      <c r="K5715" t="s">
        <v>91</v>
      </c>
      <c r="L5715">
        <v>3300000971</v>
      </c>
    </row>
    <row r="5716" spans="3:12">
      <c r="C5716">
        <v>2100300025</v>
      </c>
      <c r="D5716">
        <v>6426000</v>
      </c>
      <c r="E5716" t="s">
        <v>188</v>
      </c>
      <c r="F5716">
        <v>5104030219</v>
      </c>
      <c r="G5716" s="13">
        <v>3000</v>
      </c>
      <c r="I5716" t="s">
        <v>156</v>
      </c>
      <c r="J5716" t="s">
        <v>927</v>
      </c>
      <c r="K5716" t="s">
        <v>91</v>
      </c>
      <c r="L5716">
        <v>3300029414</v>
      </c>
    </row>
    <row r="5717" spans="3:12">
      <c r="C5717">
        <v>2100300025</v>
      </c>
      <c r="D5717">
        <v>6426000</v>
      </c>
      <c r="E5717" t="s">
        <v>188</v>
      </c>
      <c r="F5717">
        <v>5104030219</v>
      </c>
      <c r="G5717" s="13">
        <v>3000</v>
      </c>
      <c r="I5717" t="s">
        <v>156</v>
      </c>
      <c r="J5717" t="s">
        <v>933</v>
      </c>
      <c r="K5717" t="s">
        <v>91</v>
      </c>
      <c r="L5717">
        <v>3300038662</v>
      </c>
    </row>
    <row r="5718" spans="3:12">
      <c r="C5718">
        <v>2100300025</v>
      </c>
      <c r="D5718">
        <v>6426000</v>
      </c>
      <c r="E5718" t="s">
        <v>188</v>
      </c>
      <c r="F5718">
        <v>5104030219</v>
      </c>
      <c r="G5718" s="13">
        <v>3000</v>
      </c>
      <c r="I5718" t="s">
        <v>156</v>
      </c>
      <c r="J5718" t="s">
        <v>942</v>
      </c>
      <c r="K5718" t="s">
        <v>91</v>
      </c>
      <c r="L5718">
        <v>3300043963</v>
      </c>
    </row>
    <row r="5719" spans="3:12">
      <c r="C5719">
        <v>2100300025</v>
      </c>
      <c r="D5719">
        <v>6426000</v>
      </c>
      <c r="E5719" t="s">
        <v>188</v>
      </c>
      <c r="F5719">
        <v>5104030219</v>
      </c>
      <c r="G5719" s="13">
        <v>3000</v>
      </c>
      <c r="I5719" t="s">
        <v>156</v>
      </c>
      <c r="J5719" t="s">
        <v>967</v>
      </c>
      <c r="K5719" t="s">
        <v>91</v>
      </c>
      <c r="L5719">
        <v>3300064266</v>
      </c>
    </row>
    <row r="5720" spans="3:12">
      <c r="C5720">
        <v>2100300025</v>
      </c>
      <c r="D5720">
        <v>6426000</v>
      </c>
      <c r="E5720" t="s">
        <v>188</v>
      </c>
      <c r="F5720">
        <v>5104030212</v>
      </c>
      <c r="G5720" s="13">
        <v>2000</v>
      </c>
      <c r="I5720" t="s">
        <v>156</v>
      </c>
      <c r="J5720" t="s">
        <v>561</v>
      </c>
      <c r="K5720" t="s">
        <v>1044</v>
      </c>
      <c r="L5720">
        <v>3300043388</v>
      </c>
    </row>
    <row r="5721" spans="3:12">
      <c r="C5721">
        <v>2100300025</v>
      </c>
      <c r="D5721">
        <v>6426000</v>
      </c>
      <c r="E5721" t="s">
        <v>188</v>
      </c>
      <c r="F5721">
        <v>5104030212</v>
      </c>
      <c r="G5721" s="13">
        <v>2680</v>
      </c>
      <c r="I5721" t="s">
        <v>156</v>
      </c>
      <c r="J5721" t="s">
        <v>957</v>
      </c>
      <c r="K5721" t="s">
        <v>1044</v>
      </c>
      <c r="L5721">
        <v>3300053349</v>
      </c>
    </row>
    <row r="5722" spans="3:12">
      <c r="C5722">
        <v>2100300025</v>
      </c>
      <c r="D5722">
        <v>6426000</v>
      </c>
      <c r="E5722" t="s">
        <v>188</v>
      </c>
      <c r="F5722">
        <v>5104030219</v>
      </c>
      <c r="G5722" s="13">
        <v>3000</v>
      </c>
      <c r="I5722" t="s">
        <v>156</v>
      </c>
      <c r="J5722" t="s">
        <v>952</v>
      </c>
      <c r="K5722" t="s">
        <v>91</v>
      </c>
      <c r="L5722">
        <v>3300051681</v>
      </c>
    </row>
    <row r="5723" spans="3:12">
      <c r="C5723">
        <v>2100300025</v>
      </c>
      <c r="D5723">
        <v>6426000</v>
      </c>
      <c r="E5723" t="s">
        <v>188</v>
      </c>
      <c r="F5723">
        <v>5104030219</v>
      </c>
      <c r="G5723" s="13">
        <v>3000</v>
      </c>
      <c r="I5723" t="s">
        <v>156</v>
      </c>
      <c r="J5723" t="s">
        <v>865</v>
      </c>
      <c r="K5723" t="s">
        <v>91</v>
      </c>
      <c r="L5723">
        <v>3300075421</v>
      </c>
    </row>
    <row r="5724" spans="3:12">
      <c r="C5724">
        <v>2100300025</v>
      </c>
      <c r="D5724">
        <v>6426000</v>
      </c>
      <c r="E5724" t="s">
        <v>188</v>
      </c>
      <c r="F5724">
        <v>5104030299</v>
      </c>
      <c r="G5724" s="13">
        <v>3852</v>
      </c>
      <c r="I5724" t="s">
        <v>156</v>
      </c>
      <c r="J5724" t="s">
        <v>862</v>
      </c>
      <c r="K5724" t="s">
        <v>93</v>
      </c>
      <c r="L5724">
        <v>3300070914</v>
      </c>
    </row>
    <row r="5725" spans="3:12">
      <c r="C5725">
        <v>2100300025</v>
      </c>
      <c r="D5725">
        <v>6426000</v>
      </c>
      <c r="E5725" t="s">
        <v>188</v>
      </c>
      <c r="F5725">
        <v>5104030212</v>
      </c>
      <c r="G5725" s="13">
        <v>2295.1999999999998</v>
      </c>
      <c r="I5725" t="s">
        <v>156</v>
      </c>
      <c r="J5725" t="s">
        <v>935</v>
      </c>
      <c r="K5725" t="s">
        <v>1044</v>
      </c>
      <c r="L5725">
        <v>3300040623</v>
      </c>
    </row>
    <row r="5726" spans="3:12">
      <c r="C5726">
        <v>2100300025</v>
      </c>
      <c r="D5726">
        <v>6426000</v>
      </c>
      <c r="E5726" t="s">
        <v>188</v>
      </c>
      <c r="F5726">
        <v>5104030212</v>
      </c>
      <c r="G5726">
        <v>158.1</v>
      </c>
      <c r="I5726" t="s">
        <v>156</v>
      </c>
      <c r="J5726" t="s">
        <v>841</v>
      </c>
      <c r="K5726" t="s">
        <v>1044</v>
      </c>
      <c r="L5726">
        <v>3300046772</v>
      </c>
    </row>
    <row r="5727" spans="3:12">
      <c r="C5727">
        <v>2100300025</v>
      </c>
      <c r="D5727">
        <v>6426000</v>
      </c>
      <c r="E5727" t="s">
        <v>188</v>
      </c>
      <c r="F5727">
        <v>5104030212</v>
      </c>
      <c r="G5727" s="13">
        <v>2000</v>
      </c>
      <c r="I5727" t="s">
        <v>156</v>
      </c>
      <c r="J5727" t="s">
        <v>974</v>
      </c>
      <c r="K5727" t="s">
        <v>1044</v>
      </c>
      <c r="L5727">
        <v>3300068423</v>
      </c>
    </row>
    <row r="5728" spans="3:12">
      <c r="C5728">
        <v>2100300025</v>
      </c>
      <c r="D5728">
        <v>6426000</v>
      </c>
      <c r="E5728" t="s">
        <v>188</v>
      </c>
      <c r="F5728">
        <v>5104030219</v>
      </c>
      <c r="G5728" s="13">
        <v>3000</v>
      </c>
      <c r="I5728" t="s">
        <v>156</v>
      </c>
      <c r="J5728" t="s">
        <v>853</v>
      </c>
      <c r="K5728" t="s">
        <v>91</v>
      </c>
      <c r="L5728">
        <v>3300057810</v>
      </c>
    </row>
    <row r="5729" spans="3:12">
      <c r="C5729">
        <v>2100300025</v>
      </c>
      <c r="D5729">
        <v>6410210</v>
      </c>
      <c r="E5729">
        <v>90909520000000</v>
      </c>
      <c r="F5729">
        <v>5101020199</v>
      </c>
      <c r="G5729" s="13">
        <v>67000</v>
      </c>
      <c r="I5729" t="s">
        <v>147</v>
      </c>
      <c r="J5729" t="s">
        <v>829</v>
      </c>
      <c r="K5729" t="s">
        <v>486</v>
      </c>
      <c r="L5729">
        <v>3600021359</v>
      </c>
    </row>
    <row r="5730" spans="3:12">
      <c r="C5730">
        <v>2100300025</v>
      </c>
      <c r="D5730">
        <v>6410210</v>
      </c>
      <c r="E5730">
        <v>90909520000000</v>
      </c>
      <c r="F5730">
        <v>5101020199</v>
      </c>
      <c r="G5730" s="13">
        <v>44000</v>
      </c>
      <c r="I5730" t="s">
        <v>147</v>
      </c>
      <c r="J5730" t="s">
        <v>930</v>
      </c>
      <c r="K5730" t="s">
        <v>486</v>
      </c>
      <c r="L5730">
        <v>3600024349</v>
      </c>
    </row>
    <row r="5731" spans="3:12">
      <c r="C5731">
        <v>2100300025</v>
      </c>
      <c r="D5731">
        <v>6410210</v>
      </c>
      <c r="E5731">
        <v>90909520000000</v>
      </c>
      <c r="F5731">
        <v>5101020199</v>
      </c>
      <c r="G5731" s="13">
        <v>58000</v>
      </c>
      <c r="I5731" t="s">
        <v>147</v>
      </c>
      <c r="J5731" t="s">
        <v>961</v>
      </c>
      <c r="K5731" t="s">
        <v>486</v>
      </c>
      <c r="L5731">
        <v>3600031821</v>
      </c>
    </row>
    <row r="5732" spans="3:12">
      <c r="C5732">
        <v>2100300025</v>
      </c>
      <c r="D5732">
        <v>6410210</v>
      </c>
      <c r="E5732">
        <v>90909520000000</v>
      </c>
      <c r="F5732">
        <v>5101020199</v>
      </c>
      <c r="G5732" s="13">
        <v>93000</v>
      </c>
      <c r="I5732" t="s">
        <v>147</v>
      </c>
      <c r="J5732" t="s">
        <v>860</v>
      </c>
      <c r="K5732" t="s">
        <v>486</v>
      </c>
      <c r="L5732">
        <v>3600030484</v>
      </c>
    </row>
    <row r="5733" spans="3:12">
      <c r="C5733">
        <v>2100300025</v>
      </c>
      <c r="D5733">
        <v>6410210</v>
      </c>
      <c r="E5733">
        <v>90909520000000</v>
      </c>
      <c r="F5733">
        <v>5101020199</v>
      </c>
      <c r="G5733" s="13">
        <v>413250</v>
      </c>
      <c r="I5733" t="s">
        <v>147</v>
      </c>
      <c r="J5733" t="s">
        <v>982</v>
      </c>
      <c r="K5733" t="s">
        <v>486</v>
      </c>
      <c r="L5733">
        <v>3600040519</v>
      </c>
    </row>
    <row r="5734" spans="3:12">
      <c r="C5734">
        <v>2100300025</v>
      </c>
      <c r="D5734">
        <v>6410210</v>
      </c>
      <c r="E5734">
        <v>90909520000000</v>
      </c>
      <c r="F5734">
        <v>5101030101</v>
      </c>
      <c r="G5734" s="13">
        <v>27700</v>
      </c>
      <c r="I5734" t="s">
        <v>147</v>
      </c>
      <c r="J5734" t="s">
        <v>897</v>
      </c>
      <c r="K5734" t="s">
        <v>57</v>
      </c>
      <c r="L5734">
        <v>3600011072</v>
      </c>
    </row>
    <row r="5735" spans="3:12">
      <c r="C5735">
        <v>2100300025</v>
      </c>
      <c r="D5735">
        <v>6410210</v>
      </c>
      <c r="E5735">
        <v>90909520000000</v>
      </c>
      <c r="F5735">
        <v>5101030101</v>
      </c>
      <c r="G5735" s="13">
        <v>4200</v>
      </c>
      <c r="I5735" t="s">
        <v>147</v>
      </c>
      <c r="J5735" t="s">
        <v>832</v>
      </c>
      <c r="K5735" t="s">
        <v>57</v>
      </c>
      <c r="L5735">
        <v>3600020392</v>
      </c>
    </row>
    <row r="5736" spans="3:12">
      <c r="C5736">
        <v>2100300025</v>
      </c>
      <c r="D5736">
        <v>6410210</v>
      </c>
      <c r="E5736">
        <v>90909520000000</v>
      </c>
      <c r="F5736">
        <v>5101030101</v>
      </c>
      <c r="G5736" s="13">
        <v>2000</v>
      </c>
      <c r="I5736" t="s">
        <v>147</v>
      </c>
      <c r="J5736" t="s">
        <v>936</v>
      </c>
      <c r="K5736" t="s">
        <v>57</v>
      </c>
      <c r="L5736">
        <v>3600025902</v>
      </c>
    </row>
    <row r="5737" spans="3:12">
      <c r="C5737">
        <v>2100300025</v>
      </c>
      <c r="D5737">
        <v>6410210</v>
      </c>
      <c r="E5737">
        <v>90909520000000</v>
      </c>
      <c r="F5737">
        <v>5101020199</v>
      </c>
      <c r="G5737" s="13">
        <v>303000</v>
      </c>
      <c r="I5737" t="s">
        <v>147</v>
      </c>
      <c r="J5737" t="s">
        <v>591</v>
      </c>
      <c r="K5737" t="s">
        <v>486</v>
      </c>
      <c r="L5737">
        <v>3600042055</v>
      </c>
    </row>
    <row r="5738" spans="3:12">
      <c r="C5738">
        <v>2100300025</v>
      </c>
      <c r="D5738">
        <v>6410210</v>
      </c>
      <c r="E5738">
        <v>90909520000000</v>
      </c>
      <c r="F5738">
        <v>5101020101</v>
      </c>
      <c r="G5738" s="13">
        <v>146130</v>
      </c>
      <c r="I5738" t="s">
        <v>147</v>
      </c>
      <c r="J5738" t="s">
        <v>902</v>
      </c>
      <c r="K5738" t="s">
        <v>1045</v>
      </c>
      <c r="L5738">
        <v>3600013577</v>
      </c>
    </row>
    <row r="5739" spans="3:12">
      <c r="C5739">
        <v>2100300025</v>
      </c>
      <c r="D5739">
        <v>6410210</v>
      </c>
      <c r="E5739">
        <v>90909520000000</v>
      </c>
      <c r="F5739">
        <v>5101020199</v>
      </c>
      <c r="G5739" s="13">
        <v>60000</v>
      </c>
      <c r="I5739" t="s">
        <v>147</v>
      </c>
      <c r="J5739" t="s">
        <v>923</v>
      </c>
      <c r="K5739" t="s">
        <v>486</v>
      </c>
      <c r="L5739">
        <v>3600022220</v>
      </c>
    </row>
    <row r="5740" spans="3:12">
      <c r="C5740">
        <v>2100300025</v>
      </c>
      <c r="D5740">
        <v>6410210</v>
      </c>
      <c r="E5740">
        <v>90909520000000</v>
      </c>
      <c r="F5740">
        <v>5101020199</v>
      </c>
      <c r="G5740" s="13">
        <v>192500</v>
      </c>
      <c r="I5740" t="s">
        <v>147</v>
      </c>
      <c r="J5740" t="s">
        <v>848</v>
      </c>
      <c r="K5740" t="s">
        <v>486</v>
      </c>
      <c r="L5740">
        <v>3600031629</v>
      </c>
    </row>
    <row r="5741" spans="3:12">
      <c r="C5741">
        <v>2100300025</v>
      </c>
      <c r="D5741">
        <v>6410210</v>
      </c>
      <c r="E5741">
        <v>90909520000000</v>
      </c>
      <c r="F5741">
        <v>5101020199</v>
      </c>
      <c r="G5741" s="13">
        <v>10500</v>
      </c>
      <c r="I5741" t="s">
        <v>147</v>
      </c>
      <c r="J5741" t="s">
        <v>855</v>
      </c>
      <c r="K5741" t="s">
        <v>486</v>
      </c>
      <c r="L5741">
        <v>3600031854</v>
      </c>
    </row>
    <row r="5742" spans="3:12">
      <c r="C5742">
        <v>2100300025</v>
      </c>
      <c r="D5742">
        <v>6410210</v>
      </c>
      <c r="E5742">
        <v>90909520000000</v>
      </c>
      <c r="F5742">
        <v>5101020199</v>
      </c>
      <c r="G5742" s="13">
        <v>104500</v>
      </c>
      <c r="I5742" t="s">
        <v>147</v>
      </c>
      <c r="J5742" t="s">
        <v>974</v>
      </c>
      <c r="K5742" t="s">
        <v>486</v>
      </c>
      <c r="L5742">
        <v>3600034792</v>
      </c>
    </row>
    <row r="5743" spans="3:12">
      <c r="C5743">
        <v>2100300025</v>
      </c>
      <c r="D5743">
        <v>6410210</v>
      </c>
      <c r="E5743">
        <v>90909520000000</v>
      </c>
      <c r="F5743">
        <v>5101030101</v>
      </c>
      <c r="G5743" s="13">
        <v>2400</v>
      </c>
      <c r="I5743" t="s">
        <v>147</v>
      </c>
      <c r="J5743" t="s">
        <v>878</v>
      </c>
      <c r="K5743" t="s">
        <v>57</v>
      </c>
      <c r="L5743">
        <v>3600002082</v>
      </c>
    </row>
    <row r="5744" spans="3:12">
      <c r="C5744">
        <v>2100300025</v>
      </c>
      <c r="D5744">
        <v>6410210</v>
      </c>
      <c r="E5744">
        <v>90909520000000</v>
      </c>
      <c r="F5744">
        <v>5101030101</v>
      </c>
      <c r="G5744" s="13">
        <v>2400</v>
      </c>
      <c r="I5744" t="s">
        <v>147</v>
      </c>
      <c r="J5744" t="s">
        <v>871</v>
      </c>
      <c r="K5744" t="s">
        <v>57</v>
      </c>
      <c r="L5744">
        <v>3600009188</v>
      </c>
    </row>
    <row r="5745" spans="3:12">
      <c r="C5745">
        <v>2100300025</v>
      </c>
      <c r="D5745">
        <v>6410210</v>
      </c>
      <c r="E5745">
        <v>90909520000000</v>
      </c>
      <c r="F5745">
        <v>5101030101</v>
      </c>
      <c r="G5745" s="13">
        <v>14900</v>
      </c>
      <c r="I5745" t="s">
        <v>147</v>
      </c>
      <c r="J5745" t="s">
        <v>898</v>
      </c>
      <c r="K5745" t="s">
        <v>57</v>
      </c>
      <c r="L5745">
        <v>3600013209</v>
      </c>
    </row>
    <row r="5746" spans="3:12">
      <c r="C5746">
        <v>2100300025</v>
      </c>
      <c r="D5746">
        <v>6410210</v>
      </c>
      <c r="E5746">
        <v>90909520000000</v>
      </c>
      <c r="F5746">
        <v>5101030101</v>
      </c>
      <c r="G5746" s="13">
        <v>4000</v>
      </c>
      <c r="I5746" t="s">
        <v>147</v>
      </c>
      <c r="J5746" t="s">
        <v>899</v>
      </c>
      <c r="K5746" t="s">
        <v>57</v>
      </c>
      <c r="L5746">
        <v>3600009118</v>
      </c>
    </row>
    <row r="5747" spans="3:12">
      <c r="C5747">
        <v>2100300025</v>
      </c>
      <c r="D5747">
        <v>6410210</v>
      </c>
      <c r="E5747">
        <v>90909520000000</v>
      </c>
      <c r="F5747">
        <v>5101030101</v>
      </c>
      <c r="G5747" s="13">
        <v>8500</v>
      </c>
      <c r="I5747" t="s">
        <v>147</v>
      </c>
      <c r="J5747" t="s">
        <v>900</v>
      </c>
      <c r="K5747" t="s">
        <v>57</v>
      </c>
      <c r="L5747">
        <v>3600009380</v>
      </c>
    </row>
    <row r="5748" spans="3:12">
      <c r="C5748">
        <v>2100300025</v>
      </c>
      <c r="D5748">
        <v>6410210</v>
      </c>
      <c r="E5748">
        <v>90909520000000</v>
      </c>
      <c r="F5748">
        <v>5101030101</v>
      </c>
      <c r="G5748" s="13">
        <v>12500</v>
      </c>
      <c r="I5748" t="s">
        <v>147</v>
      </c>
      <c r="J5748" t="s">
        <v>904</v>
      </c>
      <c r="K5748" t="s">
        <v>57</v>
      </c>
      <c r="L5748">
        <v>3600014519</v>
      </c>
    </row>
    <row r="5749" spans="3:12">
      <c r="C5749">
        <v>2100300025</v>
      </c>
      <c r="D5749">
        <v>6410210</v>
      </c>
      <c r="E5749">
        <v>90909520000000</v>
      </c>
      <c r="F5749">
        <v>5101030101</v>
      </c>
      <c r="G5749" s="13">
        <v>12500</v>
      </c>
      <c r="I5749" t="s">
        <v>147</v>
      </c>
      <c r="J5749" t="s">
        <v>908</v>
      </c>
      <c r="K5749" t="s">
        <v>57</v>
      </c>
      <c r="L5749">
        <v>3600016755</v>
      </c>
    </row>
    <row r="5750" spans="3:12">
      <c r="C5750">
        <v>2100300025</v>
      </c>
      <c r="D5750">
        <v>6410210</v>
      </c>
      <c r="E5750">
        <v>90909520000000</v>
      </c>
      <c r="F5750">
        <v>5101030101</v>
      </c>
      <c r="G5750" s="13">
        <v>14900</v>
      </c>
      <c r="I5750" t="s">
        <v>147</v>
      </c>
      <c r="J5750" t="s">
        <v>822</v>
      </c>
      <c r="K5750" t="s">
        <v>57</v>
      </c>
      <c r="L5750">
        <v>3600014158</v>
      </c>
    </row>
    <row r="5751" spans="3:12">
      <c r="C5751">
        <v>2100300025</v>
      </c>
      <c r="D5751">
        <v>6410210</v>
      </c>
      <c r="E5751">
        <v>90909520000000</v>
      </c>
      <c r="F5751">
        <v>5101030101</v>
      </c>
      <c r="G5751" s="13">
        <v>3550</v>
      </c>
      <c r="I5751" t="s">
        <v>147</v>
      </c>
      <c r="J5751" t="s">
        <v>913</v>
      </c>
      <c r="K5751" t="s">
        <v>57</v>
      </c>
      <c r="L5751">
        <v>3600017111</v>
      </c>
    </row>
    <row r="5752" spans="3:12">
      <c r="C5752">
        <v>2100300025</v>
      </c>
      <c r="D5752">
        <v>6410210</v>
      </c>
      <c r="E5752">
        <v>90909520000000</v>
      </c>
      <c r="F5752">
        <v>5101030101</v>
      </c>
      <c r="G5752" s="13">
        <v>23100</v>
      </c>
      <c r="I5752" t="s">
        <v>147</v>
      </c>
      <c r="J5752" t="s">
        <v>799</v>
      </c>
      <c r="K5752" t="s">
        <v>57</v>
      </c>
      <c r="L5752">
        <v>3600017028</v>
      </c>
    </row>
    <row r="5753" spans="3:12">
      <c r="C5753">
        <v>2100300025</v>
      </c>
      <c r="D5753">
        <v>6410210</v>
      </c>
      <c r="E5753">
        <v>90909520000000</v>
      </c>
      <c r="F5753">
        <v>5101030101</v>
      </c>
      <c r="G5753" s="13">
        <v>7200</v>
      </c>
      <c r="I5753" t="s">
        <v>147</v>
      </c>
      <c r="J5753" t="s">
        <v>915</v>
      </c>
      <c r="K5753" t="s">
        <v>57</v>
      </c>
      <c r="L5753">
        <v>3600018614</v>
      </c>
    </row>
    <row r="5754" spans="3:12">
      <c r="C5754">
        <v>2100300025</v>
      </c>
      <c r="D5754">
        <v>6410210</v>
      </c>
      <c r="E5754">
        <v>90909520000000</v>
      </c>
      <c r="F5754">
        <v>5101030101</v>
      </c>
      <c r="G5754" s="13">
        <v>2400</v>
      </c>
      <c r="I5754" t="s">
        <v>147</v>
      </c>
      <c r="J5754" t="s">
        <v>823</v>
      </c>
      <c r="K5754" t="s">
        <v>57</v>
      </c>
      <c r="L5754">
        <v>3600017391</v>
      </c>
    </row>
    <row r="5755" spans="3:12">
      <c r="C5755">
        <v>2100300025</v>
      </c>
      <c r="D5755">
        <v>6410210</v>
      </c>
      <c r="E5755">
        <v>90909520000000</v>
      </c>
      <c r="F5755">
        <v>5101030101</v>
      </c>
      <c r="G5755" s="13">
        <v>4000</v>
      </c>
      <c r="I5755" t="s">
        <v>147</v>
      </c>
      <c r="J5755" t="s">
        <v>828</v>
      </c>
      <c r="K5755" t="s">
        <v>57</v>
      </c>
      <c r="L5755">
        <v>3600020247</v>
      </c>
    </row>
    <row r="5756" spans="3:12">
      <c r="C5756">
        <v>2100300025</v>
      </c>
      <c r="D5756">
        <v>6410210</v>
      </c>
      <c r="E5756">
        <v>90909520000000</v>
      </c>
      <c r="F5756">
        <v>5101030101</v>
      </c>
      <c r="G5756" s="13">
        <v>2100</v>
      </c>
      <c r="I5756" t="s">
        <v>147</v>
      </c>
      <c r="J5756" t="s">
        <v>925</v>
      </c>
      <c r="K5756" t="s">
        <v>57</v>
      </c>
      <c r="L5756">
        <v>3600021139</v>
      </c>
    </row>
    <row r="5757" spans="3:12">
      <c r="C5757">
        <v>2100300025</v>
      </c>
      <c r="D5757">
        <v>6410210</v>
      </c>
      <c r="E5757">
        <v>90909520000000</v>
      </c>
      <c r="F5757">
        <v>5101030101</v>
      </c>
      <c r="G5757" s="13">
        <v>9800</v>
      </c>
      <c r="I5757" t="s">
        <v>147</v>
      </c>
      <c r="J5757" t="s">
        <v>564</v>
      </c>
      <c r="K5757" t="s">
        <v>57</v>
      </c>
      <c r="L5757">
        <v>3600020019</v>
      </c>
    </row>
    <row r="5758" spans="3:12">
      <c r="C5758">
        <v>2100300025</v>
      </c>
      <c r="D5758">
        <v>6410210</v>
      </c>
      <c r="E5758">
        <v>90909520000000</v>
      </c>
      <c r="F5758">
        <v>5101030101</v>
      </c>
      <c r="G5758" s="13">
        <v>4800</v>
      </c>
      <c r="I5758" t="s">
        <v>147</v>
      </c>
      <c r="J5758" t="s">
        <v>837</v>
      </c>
      <c r="K5758" t="s">
        <v>57</v>
      </c>
      <c r="L5758">
        <v>3600023068</v>
      </c>
    </row>
    <row r="5759" spans="3:12">
      <c r="C5759">
        <v>2100300025</v>
      </c>
      <c r="D5759">
        <v>6410210</v>
      </c>
      <c r="E5759">
        <v>90909520000000</v>
      </c>
      <c r="F5759">
        <v>5101030101</v>
      </c>
      <c r="G5759" s="13">
        <v>6100</v>
      </c>
      <c r="I5759" t="s">
        <v>147</v>
      </c>
      <c r="J5759" t="s">
        <v>964</v>
      </c>
      <c r="K5759" t="s">
        <v>57</v>
      </c>
      <c r="L5759">
        <v>3600032814</v>
      </c>
    </row>
    <row r="5760" spans="3:12">
      <c r="C5760">
        <v>2100300025</v>
      </c>
      <c r="D5760">
        <v>6410210</v>
      </c>
      <c r="E5760">
        <v>90909520000000</v>
      </c>
      <c r="F5760">
        <v>5101030205</v>
      </c>
      <c r="G5760" s="13">
        <v>12965</v>
      </c>
      <c r="I5760" t="s">
        <v>147</v>
      </c>
      <c r="J5760" t="s">
        <v>801</v>
      </c>
      <c r="K5760" t="s">
        <v>149</v>
      </c>
      <c r="L5760">
        <v>3600020912</v>
      </c>
    </row>
    <row r="5761" spans="3:12">
      <c r="C5761">
        <v>2100300025</v>
      </c>
      <c r="D5761">
        <v>6410210</v>
      </c>
      <c r="E5761">
        <v>90909520000000</v>
      </c>
      <c r="F5761">
        <v>5101030205</v>
      </c>
      <c r="G5761" s="13">
        <v>2370</v>
      </c>
      <c r="I5761" t="s">
        <v>147</v>
      </c>
      <c r="J5761" t="s">
        <v>837</v>
      </c>
      <c r="K5761" t="s">
        <v>149</v>
      </c>
      <c r="L5761">
        <v>3600023067</v>
      </c>
    </row>
    <row r="5762" spans="3:12">
      <c r="C5762">
        <v>2100300025</v>
      </c>
      <c r="D5762">
        <v>6410210</v>
      </c>
      <c r="E5762">
        <v>90909520000000</v>
      </c>
      <c r="F5762">
        <v>5101030205</v>
      </c>
      <c r="G5762" s="13">
        <v>1217</v>
      </c>
      <c r="I5762" t="s">
        <v>147</v>
      </c>
      <c r="J5762" t="s">
        <v>955</v>
      </c>
      <c r="K5762" t="s">
        <v>149</v>
      </c>
      <c r="L5762">
        <v>3600031348</v>
      </c>
    </row>
    <row r="5763" spans="3:12">
      <c r="C5763">
        <v>2100300025</v>
      </c>
      <c r="D5763">
        <v>6410210</v>
      </c>
      <c r="E5763">
        <v>90909520000000</v>
      </c>
      <c r="F5763">
        <v>5101020199</v>
      </c>
      <c r="G5763" s="13">
        <v>37000</v>
      </c>
      <c r="I5763" t="s">
        <v>147</v>
      </c>
      <c r="J5763" t="s">
        <v>985</v>
      </c>
      <c r="K5763" t="s">
        <v>486</v>
      </c>
      <c r="L5763">
        <v>3600041058</v>
      </c>
    </row>
    <row r="5764" spans="3:12">
      <c r="C5764">
        <v>2100300025</v>
      </c>
      <c r="D5764">
        <v>6410210</v>
      </c>
      <c r="E5764">
        <v>90909520000000</v>
      </c>
      <c r="F5764">
        <v>5101030101</v>
      </c>
      <c r="G5764" s="13">
        <v>2100</v>
      </c>
      <c r="I5764" t="s">
        <v>147</v>
      </c>
      <c r="J5764" t="s">
        <v>880</v>
      </c>
      <c r="K5764" t="s">
        <v>57</v>
      </c>
      <c r="L5764">
        <v>3600000638</v>
      </c>
    </row>
    <row r="5765" spans="3:12">
      <c r="C5765">
        <v>2100300025</v>
      </c>
      <c r="D5765">
        <v>6410210</v>
      </c>
      <c r="E5765">
        <v>90909520000000</v>
      </c>
      <c r="F5765">
        <v>5101030101</v>
      </c>
      <c r="G5765" s="13">
        <v>2000</v>
      </c>
      <c r="I5765" t="s">
        <v>147</v>
      </c>
      <c r="J5765" t="s">
        <v>888</v>
      </c>
      <c r="K5765" t="s">
        <v>57</v>
      </c>
      <c r="L5765">
        <v>3600007639</v>
      </c>
    </row>
    <row r="5766" spans="3:12">
      <c r="C5766">
        <v>2100300025</v>
      </c>
      <c r="D5766">
        <v>6410210</v>
      </c>
      <c r="E5766">
        <v>90909520000000</v>
      </c>
      <c r="F5766">
        <v>5101030101</v>
      </c>
      <c r="G5766" s="13">
        <v>25000</v>
      </c>
      <c r="I5766" t="s">
        <v>147</v>
      </c>
      <c r="J5766" t="s">
        <v>808</v>
      </c>
      <c r="K5766" t="s">
        <v>57</v>
      </c>
      <c r="L5766">
        <v>3600004082</v>
      </c>
    </row>
    <row r="5767" spans="3:12">
      <c r="C5767">
        <v>2100300025</v>
      </c>
      <c r="D5767">
        <v>6410210</v>
      </c>
      <c r="E5767">
        <v>90909520000000</v>
      </c>
      <c r="F5767">
        <v>5101030101</v>
      </c>
      <c r="G5767" s="13">
        <v>5000</v>
      </c>
      <c r="I5767" t="s">
        <v>147</v>
      </c>
      <c r="J5767" t="s">
        <v>889</v>
      </c>
      <c r="K5767" t="s">
        <v>57</v>
      </c>
      <c r="L5767">
        <v>3600007090</v>
      </c>
    </row>
    <row r="5768" spans="3:12">
      <c r="C5768">
        <v>2100300025</v>
      </c>
      <c r="D5768">
        <v>6410210</v>
      </c>
      <c r="E5768">
        <v>90909520000000</v>
      </c>
      <c r="F5768">
        <v>5101030101</v>
      </c>
      <c r="G5768" s="13">
        <v>13100</v>
      </c>
      <c r="I5768" t="s">
        <v>147</v>
      </c>
      <c r="J5768" t="s">
        <v>890</v>
      </c>
      <c r="K5768" t="s">
        <v>57</v>
      </c>
      <c r="L5768">
        <v>3600007028</v>
      </c>
    </row>
    <row r="5769" spans="3:12">
      <c r="C5769">
        <v>2100300025</v>
      </c>
      <c r="D5769">
        <v>6410210</v>
      </c>
      <c r="E5769">
        <v>90909520000000</v>
      </c>
      <c r="F5769">
        <v>5101030101</v>
      </c>
      <c r="G5769" s="13">
        <v>7000</v>
      </c>
      <c r="I5769" t="s">
        <v>147</v>
      </c>
      <c r="J5769" t="s">
        <v>894</v>
      </c>
      <c r="K5769" t="s">
        <v>57</v>
      </c>
      <c r="L5769">
        <v>3600010829</v>
      </c>
    </row>
    <row r="5770" spans="3:12">
      <c r="C5770">
        <v>2100300025</v>
      </c>
      <c r="D5770">
        <v>6410210</v>
      </c>
      <c r="E5770">
        <v>90909520000000</v>
      </c>
      <c r="F5770">
        <v>5101030101</v>
      </c>
      <c r="G5770" s="13">
        <v>2900</v>
      </c>
      <c r="I5770" t="s">
        <v>147</v>
      </c>
      <c r="J5770" t="s">
        <v>814</v>
      </c>
      <c r="K5770" t="s">
        <v>57</v>
      </c>
      <c r="L5770">
        <v>3600007465</v>
      </c>
    </row>
    <row r="5771" spans="3:12">
      <c r="C5771">
        <v>2100300025</v>
      </c>
      <c r="D5771">
        <v>6410210</v>
      </c>
      <c r="E5771">
        <v>90909520000000</v>
      </c>
      <c r="F5771">
        <v>5101030101</v>
      </c>
      <c r="G5771" s="13">
        <v>2400</v>
      </c>
      <c r="I5771" t="s">
        <v>147</v>
      </c>
      <c r="J5771" t="s">
        <v>892</v>
      </c>
      <c r="K5771" t="s">
        <v>57</v>
      </c>
      <c r="L5771">
        <v>3600009033</v>
      </c>
    </row>
    <row r="5772" spans="3:12">
      <c r="C5772">
        <v>2100300025</v>
      </c>
      <c r="D5772">
        <v>6410210</v>
      </c>
      <c r="E5772">
        <v>90909520000000</v>
      </c>
      <c r="F5772">
        <v>5101030101</v>
      </c>
      <c r="G5772" s="13">
        <v>32600</v>
      </c>
      <c r="I5772" t="s">
        <v>147</v>
      </c>
      <c r="J5772" t="s">
        <v>902</v>
      </c>
      <c r="K5772" t="s">
        <v>57</v>
      </c>
      <c r="L5772">
        <v>3600013624</v>
      </c>
    </row>
    <row r="5773" spans="3:12">
      <c r="C5773">
        <v>2100300025</v>
      </c>
      <c r="D5773">
        <v>6410210</v>
      </c>
      <c r="E5773">
        <v>90909520000000</v>
      </c>
      <c r="F5773">
        <v>5101030101</v>
      </c>
      <c r="G5773" s="13">
        <v>17900</v>
      </c>
      <c r="I5773" t="s">
        <v>147</v>
      </c>
      <c r="J5773" t="s">
        <v>903</v>
      </c>
      <c r="K5773" t="s">
        <v>57</v>
      </c>
      <c r="L5773">
        <v>3600010798</v>
      </c>
    </row>
    <row r="5774" spans="3:12">
      <c r="C5774">
        <v>2100300025</v>
      </c>
      <c r="D5774">
        <v>6410210</v>
      </c>
      <c r="E5774">
        <v>90909520000000</v>
      </c>
      <c r="F5774">
        <v>5101030101</v>
      </c>
      <c r="G5774" s="13">
        <v>4000</v>
      </c>
      <c r="I5774" t="s">
        <v>147</v>
      </c>
      <c r="J5774" t="s">
        <v>555</v>
      </c>
      <c r="K5774" t="s">
        <v>57</v>
      </c>
      <c r="L5774">
        <v>3600015556</v>
      </c>
    </row>
    <row r="5775" spans="3:12">
      <c r="C5775">
        <v>2100300025</v>
      </c>
      <c r="D5775">
        <v>6410210</v>
      </c>
      <c r="E5775">
        <v>90909520000000</v>
      </c>
      <c r="F5775">
        <v>5101030101</v>
      </c>
      <c r="G5775" s="13">
        <v>6650</v>
      </c>
      <c r="I5775" t="s">
        <v>147</v>
      </c>
      <c r="J5775" t="s">
        <v>905</v>
      </c>
      <c r="K5775" t="s">
        <v>57</v>
      </c>
      <c r="L5775">
        <v>3600015439</v>
      </c>
    </row>
    <row r="5776" spans="3:12">
      <c r="C5776">
        <v>2100300025</v>
      </c>
      <c r="D5776">
        <v>6410210</v>
      </c>
      <c r="E5776">
        <v>90909520000000</v>
      </c>
      <c r="F5776">
        <v>5101030101</v>
      </c>
      <c r="G5776" s="13">
        <v>9400</v>
      </c>
      <c r="I5776" t="s">
        <v>147</v>
      </c>
      <c r="J5776" t="s">
        <v>906</v>
      </c>
      <c r="K5776" t="s">
        <v>57</v>
      </c>
      <c r="L5776">
        <v>3600014129</v>
      </c>
    </row>
    <row r="5777" spans="3:12">
      <c r="C5777">
        <v>2100300025</v>
      </c>
      <c r="D5777">
        <v>6410210</v>
      </c>
      <c r="E5777">
        <v>90909520000000</v>
      </c>
      <c r="F5777">
        <v>5101030101</v>
      </c>
      <c r="G5777" s="13">
        <v>2100</v>
      </c>
      <c r="I5777" t="s">
        <v>147</v>
      </c>
      <c r="J5777" t="s">
        <v>907</v>
      </c>
      <c r="K5777" t="s">
        <v>57</v>
      </c>
      <c r="L5777">
        <v>3600015318</v>
      </c>
    </row>
    <row r="5778" spans="3:12">
      <c r="C5778">
        <v>2100300025</v>
      </c>
      <c r="D5778">
        <v>6410210</v>
      </c>
      <c r="E5778">
        <v>90909520000000</v>
      </c>
      <c r="F5778">
        <v>5101030101</v>
      </c>
      <c r="G5778" s="13">
        <v>6500</v>
      </c>
      <c r="I5778" t="s">
        <v>147</v>
      </c>
      <c r="J5778" t="s">
        <v>915</v>
      </c>
      <c r="K5778" t="s">
        <v>57</v>
      </c>
      <c r="L5778">
        <v>3600018288</v>
      </c>
    </row>
    <row r="5779" spans="3:12">
      <c r="C5779">
        <v>2100300025</v>
      </c>
      <c r="D5779">
        <v>6410210</v>
      </c>
      <c r="E5779">
        <v>90909520000000</v>
      </c>
      <c r="F5779">
        <v>5101030101</v>
      </c>
      <c r="G5779" s="13">
        <v>2400</v>
      </c>
      <c r="I5779" t="s">
        <v>147</v>
      </c>
      <c r="J5779" t="s">
        <v>920</v>
      </c>
      <c r="K5779" t="s">
        <v>57</v>
      </c>
      <c r="L5779">
        <v>3600017792</v>
      </c>
    </row>
    <row r="5780" spans="3:12">
      <c r="C5780">
        <v>2100300025</v>
      </c>
      <c r="D5780">
        <v>6410210</v>
      </c>
      <c r="E5780">
        <v>90909520000000</v>
      </c>
      <c r="F5780">
        <v>5101030101</v>
      </c>
      <c r="G5780" s="13">
        <v>4100</v>
      </c>
      <c r="I5780" t="s">
        <v>147</v>
      </c>
      <c r="J5780" t="s">
        <v>829</v>
      </c>
      <c r="K5780" t="s">
        <v>57</v>
      </c>
      <c r="L5780">
        <v>3600022012</v>
      </c>
    </row>
    <row r="5781" spans="3:12">
      <c r="C5781">
        <v>2100300025</v>
      </c>
      <c r="D5781">
        <v>6410210</v>
      </c>
      <c r="E5781">
        <v>90909520000000</v>
      </c>
      <c r="F5781">
        <v>5101030101</v>
      </c>
      <c r="G5781" s="13">
        <v>2900</v>
      </c>
      <c r="I5781" t="s">
        <v>147</v>
      </c>
      <c r="J5781" t="s">
        <v>931</v>
      </c>
      <c r="K5781" t="s">
        <v>57</v>
      </c>
      <c r="L5781">
        <v>3600025407</v>
      </c>
    </row>
    <row r="5782" spans="3:12">
      <c r="C5782">
        <v>2100300025</v>
      </c>
      <c r="D5782">
        <v>6410210</v>
      </c>
      <c r="E5782">
        <v>90909520000000</v>
      </c>
      <c r="F5782">
        <v>5101030101</v>
      </c>
      <c r="G5782" s="13">
        <v>2400</v>
      </c>
      <c r="I5782" t="s">
        <v>147</v>
      </c>
      <c r="J5782" t="s">
        <v>946</v>
      </c>
      <c r="K5782" t="s">
        <v>57</v>
      </c>
      <c r="L5782">
        <v>3600030387</v>
      </c>
    </row>
    <row r="5783" spans="3:12">
      <c r="C5783">
        <v>2100300025</v>
      </c>
      <c r="D5783">
        <v>6410210</v>
      </c>
      <c r="E5783">
        <v>90909520000000</v>
      </c>
      <c r="F5783">
        <v>5101030101</v>
      </c>
      <c r="G5783" s="13">
        <v>6800</v>
      </c>
      <c r="I5783" t="s">
        <v>147</v>
      </c>
      <c r="J5783" t="s">
        <v>846</v>
      </c>
      <c r="K5783" t="s">
        <v>57</v>
      </c>
      <c r="L5783">
        <v>3600031398</v>
      </c>
    </row>
    <row r="5784" spans="3:12">
      <c r="C5784">
        <v>2100300025</v>
      </c>
      <c r="D5784">
        <v>6410210</v>
      </c>
      <c r="E5784">
        <v>90909520000000</v>
      </c>
      <c r="F5784">
        <v>5101030101</v>
      </c>
      <c r="G5784" s="13">
        <v>4500</v>
      </c>
      <c r="I5784" t="s">
        <v>147</v>
      </c>
      <c r="J5784" t="s">
        <v>955</v>
      </c>
      <c r="K5784" t="s">
        <v>57</v>
      </c>
      <c r="L5784">
        <v>3600031036</v>
      </c>
    </row>
    <row r="5785" spans="3:12">
      <c r="C5785">
        <v>2100300025</v>
      </c>
      <c r="D5785">
        <v>6410210</v>
      </c>
      <c r="E5785">
        <v>90909520000000</v>
      </c>
      <c r="F5785">
        <v>5101030101</v>
      </c>
      <c r="G5785" s="13">
        <v>6500</v>
      </c>
      <c r="I5785" t="s">
        <v>147</v>
      </c>
      <c r="J5785" t="s">
        <v>873</v>
      </c>
      <c r="K5785" t="s">
        <v>57</v>
      </c>
      <c r="L5785">
        <v>3600031576</v>
      </c>
    </row>
    <row r="5786" spans="3:12">
      <c r="C5786">
        <v>2100300025</v>
      </c>
      <c r="D5786">
        <v>6410210</v>
      </c>
      <c r="E5786">
        <v>90909520000000</v>
      </c>
      <c r="F5786">
        <v>5101030101</v>
      </c>
      <c r="G5786" s="13">
        <v>8500</v>
      </c>
      <c r="I5786" t="s">
        <v>147</v>
      </c>
      <c r="J5786" t="s">
        <v>966</v>
      </c>
      <c r="K5786" t="s">
        <v>57</v>
      </c>
      <c r="L5786">
        <v>3600032027</v>
      </c>
    </row>
    <row r="5787" spans="3:12">
      <c r="C5787">
        <v>2100300025</v>
      </c>
      <c r="D5787">
        <v>6410210</v>
      </c>
      <c r="E5787">
        <v>90909520000000</v>
      </c>
      <c r="F5787">
        <v>5101030101</v>
      </c>
      <c r="G5787" s="13">
        <v>2400</v>
      </c>
      <c r="I5787" t="s">
        <v>147</v>
      </c>
      <c r="J5787" t="s">
        <v>857</v>
      </c>
      <c r="K5787" t="s">
        <v>57</v>
      </c>
      <c r="L5787">
        <v>3600023971</v>
      </c>
    </row>
    <row r="5788" spans="3:12">
      <c r="C5788">
        <v>2100300025</v>
      </c>
      <c r="D5788">
        <v>6410210</v>
      </c>
      <c r="E5788">
        <v>90909520000000</v>
      </c>
      <c r="F5788">
        <v>5101030101</v>
      </c>
      <c r="G5788" s="13">
        <v>12500</v>
      </c>
      <c r="I5788" t="s">
        <v>147</v>
      </c>
      <c r="J5788" t="s">
        <v>557</v>
      </c>
      <c r="K5788" t="s">
        <v>57</v>
      </c>
      <c r="L5788">
        <v>3600038308</v>
      </c>
    </row>
    <row r="5789" spans="3:12">
      <c r="C5789">
        <v>2100300025</v>
      </c>
      <c r="D5789">
        <v>6410210</v>
      </c>
      <c r="E5789">
        <v>90909520000000</v>
      </c>
      <c r="F5789">
        <v>5101030101</v>
      </c>
      <c r="G5789" s="13">
        <v>2400</v>
      </c>
      <c r="I5789" t="s">
        <v>147</v>
      </c>
      <c r="J5789" t="s">
        <v>869</v>
      </c>
      <c r="K5789" t="s">
        <v>57</v>
      </c>
      <c r="L5789">
        <v>3600042233</v>
      </c>
    </row>
    <row r="5790" spans="3:12">
      <c r="C5790">
        <v>2100300025</v>
      </c>
      <c r="D5790">
        <v>6410210</v>
      </c>
      <c r="E5790">
        <v>90909520000000</v>
      </c>
      <c r="F5790">
        <v>5101030205</v>
      </c>
      <c r="G5790" s="13">
        <v>21370</v>
      </c>
      <c r="I5790" t="s">
        <v>147</v>
      </c>
      <c r="J5790" t="s">
        <v>877</v>
      </c>
      <c r="K5790" t="s">
        <v>149</v>
      </c>
      <c r="L5790">
        <v>3600000668</v>
      </c>
    </row>
    <row r="5791" spans="3:12">
      <c r="C5791">
        <v>2100300025</v>
      </c>
      <c r="D5791">
        <v>6410210</v>
      </c>
      <c r="E5791">
        <v>90909520000000</v>
      </c>
      <c r="F5791">
        <v>5101030205</v>
      </c>
      <c r="G5791" s="13">
        <v>9684</v>
      </c>
      <c r="I5791" t="s">
        <v>147</v>
      </c>
      <c r="J5791" t="s">
        <v>890</v>
      </c>
      <c r="K5791" t="s">
        <v>149</v>
      </c>
      <c r="L5791">
        <v>3600005700</v>
      </c>
    </row>
    <row r="5792" spans="3:12">
      <c r="C5792">
        <v>2100300025</v>
      </c>
      <c r="D5792">
        <v>6410210</v>
      </c>
      <c r="E5792">
        <v>90909520000000</v>
      </c>
      <c r="F5792">
        <v>5101030205</v>
      </c>
      <c r="G5792" s="13">
        <v>1570</v>
      </c>
      <c r="I5792" t="s">
        <v>147</v>
      </c>
      <c r="J5792" t="s">
        <v>893</v>
      </c>
      <c r="K5792" t="s">
        <v>149</v>
      </c>
      <c r="L5792">
        <v>3600010848</v>
      </c>
    </row>
    <row r="5793" spans="3:12">
      <c r="C5793">
        <v>2100300025</v>
      </c>
      <c r="D5793">
        <v>6410210</v>
      </c>
      <c r="E5793">
        <v>90909520000000</v>
      </c>
      <c r="F5793">
        <v>5101030205</v>
      </c>
      <c r="G5793" s="13">
        <v>1448</v>
      </c>
      <c r="I5793" t="s">
        <v>147</v>
      </c>
      <c r="J5793" t="s">
        <v>871</v>
      </c>
      <c r="K5793" t="s">
        <v>149</v>
      </c>
      <c r="L5793">
        <v>3600013191</v>
      </c>
    </row>
    <row r="5794" spans="3:12">
      <c r="C5794">
        <v>2100300025</v>
      </c>
      <c r="D5794">
        <v>6410210</v>
      </c>
      <c r="E5794">
        <v>90909520000000</v>
      </c>
      <c r="F5794">
        <v>5101030205</v>
      </c>
      <c r="G5794" s="13">
        <v>9325</v>
      </c>
      <c r="I5794" t="s">
        <v>147</v>
      </c>
      <c r="J5794" t="s">
        <v>555</v>
      </c>
      <c r="K5794" t="s">
        <v>149</v>
      </c>
      <c r="L5794">
        <v>3600015557</v>
      </c>
    </row>
    <row r="5795" spans="3:12">
      <c r="C5795">
        <v>2100300025</v>
      </c>
      <c r="D5795">
        <v>6410210</v>
      </c>
      <c r="E5795">
        <v>90909520000000</v>
      </c>
      <c r="F5795">
        <v>5101030205</v>
      </c>
      <c r="G5795">
        <v>360</v>
      </c>
      <c r="I5795" t="s">
        <v>147</v>
      </c>
      <c r="J5795" t="s">
        <v>907</v>
      </c>
      <c r="K5795" t="s">
        <v>149</v>
      </c>
      <c r="L5795">
        <v>3600015317</v>
      </c>
    </row>
    <row r="5796" spans="3:12">
      <c r="C5796">
        <v>2100300025</v>
      </c>
      <c r="D5796">
        <v>6410210</v>
      </c>
      <c r="E5796">
        <v>90909520000000</v>
      </c>
      <c r="F5796">
        <v>5101030205</v>
      </c>
      <c r="G5796" s="13">
        <v>2915.5</v>
      </c>
      <c r="I5796" t="s">
        <v>147</v>
      </c>
      <c r="J5796" t="s">
        <v>915</v>
      </c>
      <c r="K5796" t="s">
        <v>149</v>
      </c>
      <c r="L5796">
        <v>3600018185</v>
      </c>
    </row>
    <row r="5797" spans="3:12">
      <c r="C5797">
        <v>2100300025</v>
      </c>
      <c r="D5797">
        <v>6410210</v>
      </c>
      <c r="E5797">
        <v>90909520000000</v>
      </c>
      <c r="F5797">
        <v>5101030205</v>
      </c>
      <c r="G5797">
        <v>600</v>
      </c>
      <c r="I5797" t="s">
        <v>147</v>
      </c>
      <c r="J5797" t="s">
        <v>919</v>
      </c>
      <c r="K5797" t="s">
        <v>149</v>
      </c>
      <c r="L5797">
        <v>3600001028</v>
      </c>
    </row>
    <row r="5798" spans="3:12">
      <c r="C5798">
        <v>2100300025</v>
      </c>
      <c r="D5798">
        <v>6410210</v>
      </c>
      <c r="E5798">
        <v>90909520000000</v>
      </c>
      <c r="F5798">
        <v>5101030205</v>
      </c>
      <c r="G5798">
        <v>620</v>
      </c>
      <c r="I5798" t="s">
        <v>147</v>
      </c>
      <c r="J5798" t="s">
        <v>829</v>
      </c>
      <c r="K5798" t="s">
        <v>149</v>
      </c>
      <c r="L5798">
        <v>3600022011</v>
      </c>
    </row>
    <row r="5799" spans="3:12">
      <c r="C5799">
        <v>2100300025</v>
      </c>
      <c r="D5799">
        <v>6410210</v>
      </c>
      <c r="E5799">
        <v>90909520000000</v>
      </c>
      <c r="F5799">
        <v>5101030205</v>
      </c>
      <c r="G5799" s="13">
        <v>1000</v>
      </c>
      <c r="I5799" t="s">
        <v>147</v>
      </c>
      <c r="J5799" t="s">
        <v>925</v>
      </c>
      <c r="K5799" t="s">
        <v>149</v>
      </c>
      <c r="L5799">
        <v>3600021741</v>
      </c>
    </row>
    <row r="5800" spans="3:12">
      <c r="C5800">
        <v>2100300025</v>
      </c>
      <c r="D5800">
        <v>6410210</v>
      </c>
      <c r="E5800">
        <v>90909520000000</v>
      </c>
      <c r="F5800">
        <v>5101030205</v>
      </c>
      <c r="G5800">
        <v>420</v>
      </c>
      <c r="I5800" t="s">
        <v>147</v>
      </c>
      <c r="J5800" t="s">
        <v>830</v>
      </c>
      <c r="K5800" t="s">
        <v>149</v>
      </c>
      <c r="L5800">
        <v>3600019042</v>
      </c>
    </row>
    <row r="5801" spans="3:12">
      <c r="C5801">
        <v>2100300025</v>
      </c>
      <c r="D5801">
        <v>6410210</v>
      </c>
      <c r="E5801">
        <v>90909520000000</v>
      </c>
      <c r="F5801">
        <v>5101030205</v>
      </c>
      <c r="G5801" s="13">
        <v>6000</v>
      </c>
      <c r="I5801" t="s">
        <v>147</v>
      </c>
      <c r="J5801" t="s">
        <v>935</v>
      </c>
      <c r="K5801" t="s">
        <v>149</v>
      </c>
      <c r="L5801">
        <v>3600025856</v>
      </c>
    </row>
    <row r="5802" spans="3:12">
      <c r="C5802">
        <v>2100300025</v>
      </c>
      <c r="D5802">
        <v>6410210</v>
      </c>
      <c r="E5802">
        <v>90909520000000</v>
      </c>
      <c r="F5802">
        <v>5101030205</v>
      </c>
      <c r="G5802" s="13">
        <v>9440</v>
      </c>
      <c r="I5802" t="s">
        <v>147</v>
      </c>
      <c r="J5802" t="s">
        <v>941</v>
      </c>
      <c r="K5802" t="s">
        <v>149</v>
      </c>
      <c r="L5802">
        <v>3600026274</v>
      </c>
    </row>
    <row r="5803" spans="3:12">
      <c r="C5803">
        <v>2100300025</v>
      </c>
      <c r="D5803">
        <v>6410210</v>
      </c>
      <c r="E5803">
        <v>90909520000000</v>
      </c>
      <c r="F5803">
        <v>5101030205</v>
      </c>
      <c r="G5803">
        <v>430</v>
      </c>
      <c r="I5803" t="s">
        <v>147</v>
      </c>
      <c r="J5803" t="s">
        <v>841</v>
      </c>
      <c r="K5803" t="s">
        <v>149</v>
      </c>
      <c r="L5803">
        <v>3600028429</v>
      </c>
    </row>
    <row r="5804" spans="3:12">
      <c r="C5804">
        <v>2100300025</v>
      </c>
      <c r="D5804">
        <v>6410210</v>
      </c>
      <c r="E5804">
        <v>90909520000000</v>
      </c>
      <c r="F5804">
        <v>5101030205</v>
      </c>
      <c r="G5804" s="13">
        <v>2450</v>
      </c>
      <c r="I5804" t="s">
        <v>147</v>
      </c>
      <c r="J5804" t="s">
        <v>848</v>
      </c>
      <c r="K5804" t="s">
        <v>149</v>
      </c>
      <c r="L5804">
        <v>3600030925</v>
      </c>
    </row>
    <row r="5805" spans="3:12">
      <c r="C5805">
        <v>2100300025</v>
      </c>
      <c r="D5805">
        <v>6410210</v>
      </c>
      <c r="E5805">
        <v>90909520000000</v>
      </c>
      <c r="F5805">
        <v>5101030205</v>
      </c>
      <c r="G5805" s="13">
        <v>3680</v>
      </c>
      <c r="I5805" t="s">
        <v>147</v>
      </c>
      <c r="J5805" t="s">
        <v>952</v>
      </c>
      <c r="K5805" t="s">
        <v>149</v>
      </c>
      <c r="L5805">
        <v>3600030327</v>
      </c>
    </row>
    <row r="5806" spans="3:12">
      <c r="C5806">
        <v>2100300025</v>
      </c>
      <c r="D5806">
        <v>6410210</v>
      </c>
      <c r="E5806">
        <v>90909520000000</v>
      </c>
      <c r="F5806">
        <v>5101030205</v>
      </c>
      <c r="G5806" s="13">
        <v>1950</v>
      </c>
      <c r="I5806" t="s">
        <v>147</v>
      </c>
      <c r="J5806" t="s">
        <v>976</v>
      </c>
      <c r="K5806" t="s">
        <v>149</v>
      </c>
      <c r="L5806">
        <v>3600035027</v>
      </c>
    </row>
    <row r="5807" spans="3:12">
      <c r="C5807">
        <v>2100300025</v>
      </c>
      <c r="D5807">
        <v>6410210</v>
      </c>
      <c r="E5807">
        <v>90909520000000</v>
      </c>
      <c r="F5807">
        <v>5101030205</v>
      </c>
      <c r="G5807" s="13">
        <v>9990</v>
      </c>
      <c r="I5807" t="s">
        <v>147</v>
      </c>
      <c r="J5807" t="s">
        <v>977</v>
      </c>
      <c r="K5807" t="s">
        <v>149</v>
      </c>
      <c r="L5807">
        <v>3600036621</v>
      </c>
    </row>
    <row r="5808" spans="3:12">
      <c r="C5808">
        <v>2100300025</v>
      </c>
      <c r="D5808">
        <v>6410210</v>
      </c>
      <c r="E5808">
        <v>90909520000000</v>
      </c>
      <c r="F5808">
        <v>5101030205</v>
      </c>
      <c r="G5808" s="13">
        <v>115420</v>
      </c>
      <c r="I5808" t="s">
        <v>147</v>
      </c>
      <c r="J5808" t="s">
        <v>977</v>
      </c>
      <c r="K5808" t="s">
        <v>149</v>
      </c>
      <c r="L5808">
        <v>3600036623</v>
      </c>
    </row>
    <row r="5809" spans="3:12">
      <c r="C5809">
        <v>2100300025</v>
      </c>
      <c r="D5809">
        <v>6410210</v>
      </c>
      <c r="E5809">
        <v>90909520000000</v>
      </c>
      <c r="F5809">
        <v>5101030205</v>
      </c>
      <c r="G5809" s="13">
        <v>4880</v>
      </c>
      <c r="I5809" t="s">
        <v>147</v>
      </c>
      <c r="J5809" t="s">
        <v>987</v>
      </c>
      <c r="K5809" t="s">
        <v>149</v>
      </c>
      <c r="L5809">
        <v>3600041013</v>
      </c>
    </row>
    <row r="5810" spans="3:12">
      <c r="C5810">
        <v>2100300025</v>
      </c>
      <c r="D5810">
        <v>6410210</v>
      </c>
      <c r="E5810">
        <v>90909520000000</v>
      </c>
      <c r="F5810">
        <v>5101030205</v>
      </c>
      <c r="G5810">
        <v>820</v>
      </c>
      <c r="I5810" t="s">
        <v>147</v>
      </c>
      <c r="J5810" t="s">
        <v>557</v>
      </c>
      <c r="K5810" t="s">
        <v>149</v>
      </c>
      <c r="L5810">
        <v>3600037570</v>
      </c>
    </row>
    <row r="5811" spans="3:12">
      <c r="C5811">
        <v>2100300025</v>
      </c>
      <c r="D5811">
        <v>6410210</v>
      </c>
      <c r="E5811">
        <v>90909520000000</v>
      </c>
      <c r="F5811">
        <v>5101040204</v>
      </c>
      <c r="G5811">
        <v>250</v>
      </c>
      <c r="I5811" t="s">
        <v>147</v>
      </c>
      <c r="J5811" t="s">
        <v>901</v>
      </c>
      <c r="K5811" t="s">
        <v>487</v>
      </c>
      <c r="L5811">
        <v>3600012109</v>
      </c>
    </row>
    <row r="5812" spans="3:12">
      <c r="C5812">
        <v>2100300025</v>
      </c>
      <c r="D5812">
        <v>6410210</v>
      </c>
      <c r="E5812">
        <v>90909520000000</v>
      </c>
      <c r="F5812">
        <v>5101040204</v>
      </c>
      <c r="G5812" s="13">
        <v>2540</v>
      </c>
      <c r="I5812" t="s">
        <v>147</v>
      </c>
      <c r="J5812" t="s">
        <v>907</v>
      </c>
      <c r="K5812" t="s">
        <v>487</v>
      </c>
      <c r="L5812">
        <v>3600015319</v>
      </c>
    </row>
    <row r="5813" spans="3:12">
      <c r="C5813">
        <v>2100300025</v>
      </c>
      <c r="D5813">
        <v>6410210</v>
      </c>
      <c r="E5813">
        <v>90909520000000</v>
      </c>
      <c r="F5813">
        <v>5101030205</v>
      </c>
      <c r="G5813">
        <v>336</v>
      </c>
      <c r="I5813" t="s">
        <v>147</v>
      </c>
      <c r="J5813" t="s">
        <v>939</v>
      </c>
      <c r="K5813" t="s">
        <v>149</v>
      </c>
      <c r="L5813">
        <v>3600026194</v>
      </c>
    </row>
    <row r="5814" spans="3:12">
      <c r="C5814">
        <v>2100300025</v>
      </c>
      <c r="D5814">
        <v>6410210</v>
      </c>
      <c r="E5814">
        <v>90909520000000</v>
      </c>
      <c r="F5814">
        <v>5101030205</v>
      </c>
      <c r="G5814" s="13">
        <v>9195</v>
      </c>
      <c r="I5814" t="s">
        <v>147</v>
      </c>
      <c r="J5814" t="s">
        <v>814</v>
      </c>
      <c r="K5814" t="s">
        <v>149</v>
      </c>
      <c r="L5814">
        <v>3600001278</v>
      </c>
    </row>
    <row r="5815" spans="3:12">
      <c r="C5815">
        <v>2100300025</v>
      </c>
      <c r="D5815">
        <v>6410210</v>
      </c>
      <c r="E5815">
        <v>90909520000000</v>
      </c>
      <c r="F5815">
        <v>5101030205</v>
      </c>
      <c r="G5815" s="13">
        <v>16000</v>
      </c>
      <c r="I5815" t="s">
        <v>147</v>
      </c>
      <c r="J5815" t="s">
        <v>900</v>
      </c>
      <c r="K5815" t="s">
        <v>149</v>
      </c>
      <c r="L5815">
        <v>3600008891</v>
      </c>
    </row>
    <row r="5816" spans="3:12">
      <c r="C5816">
        <v>2100300025</v>
      </c>
      <c r="D5816">
        <v>6410210</v>
      </c>
      <c r="E5816">
        <v>90909520000000</v>
      </c>
      <c r="F5816">
        <v>5101030205</v>
      </c>
      <c r="G5816" s="13">
        <v>1630</v>
      </c>
      <c r="I5816" t="s">
        <v>147</v>
      </c>
      <c r="J5816" t="s">
        <v>964</v>
      </c>
      <c r="K5816" t="s">
        <v>149</v>
      </c>
      <c r="L5816">
        <v>3600032815</v>
      </c>
    </row>
    <row r="5817" spans="3:12">
      <c r="C5817">
        <v>2100300025</v>
      </c>
      <c r="D5817">
        <v>6410210</v>
      </c>
      <c r="E5817">
        <v>90909520000000</v>
      </c>
      <c r="F5817">
        <v>5101030101</v>
      </c>
      <c r="G5817" s="13">
        <v>2400</v>
      </c>
      <c r="I5817" t="s">
        <v>147</v>
      </c>
      <c r="J5817" t="s">
        <v>939</v>
      </c>
      <c r="K5817" t="s">
        <v>57</v>
      </c>
      <c r="L5817">
        <v>3600022883</v>
      </c>
    </row>
    <row r="5818" spans="3:12">
      <c r="C5818">
        <v>2100300025</v>
      </c>
      <c r="D5818">
        <v>6410210</v>
      </c>
      <c r="E5818">
        <v>90909520000000</v>
      </c>
      <c r="F5818">
        <v>5101030101</v>
      </c>
      <c r="G5818" s="13">
        <v>8000</v>
      </c>
      <c r="I5818" t="s">
        <v>147</v>
      </c>
      <c r="J5818" t="s">
        <v>948</v>
      </c>
      <c r="K5818" t="s">
        <v>57</v>
      </c>
      <c r="L5818">
        <v>3600028093</v>
      </c>
    </row>
    <row r="5819" spans="3:12">
      <c r="C5819">
        <v>2100300025</v>
      </c>
      <c r="D5819">
        <v>6410210</v>
      </c>
      <c r="E5819">
        <v>90909520000000</v>
      </c>
      <c r="F5819">
        <v>5101030205</v>
      </c>
      <c r="G5819">
        <v>760</v>
      </c>
      <c r="I5819" t="s">
        <v>147</v>
      </c>
      <c r="J5819" t="s">
        <v>948</v>
      </c>
      <c r="K5819" t="s">
        <v>149</v>
      </c>
      <c r="L5819">
        <v>3600028689</v>
      </c>
    </row>
    <row r="5820" spans="3:12">
      <c r="C5820">
        <v>2100300025</v>
      </c>
      <c r="D5820">
        <v>6410210</v>
      </c>
      <c r="E5820">
        <v>90909520000000</v>
      </c>
      <c r="F5820">
        <v>5101030101</v>
      </c>
      <c r="G5820" s="13">
        <v>5800</v>
      </c>
      <c r="I5820" t="s">
        <v>147</v>
      </c>
      <c r="J5820" t="s">
        <v>950</v>
      </c>
      <c r="K5820" t="s">
        <v>57</v>
      </c>
      <c r="L5820">
        <v>3600006020</v>
      </c>
    </row>
    <row r="5821" spans="3:12">
      <c r="C5821">
        <v>2100300025</v>
      </c>
      <c r="D5821">
        <v>6410210</v>
      </c>
      <c r="E5821">
        <v>90909520000000</v>
      </c>
      <c r="F5821">
        <v>5101030101</v>
      </c>
      <c r="G5821" s="13">
        <v>2400</v>
      </c>
      <c r="I5821" t="s">
        <v>147</v>
      </c>
      <c r="J5821" t="s">
        <v>951</v>
      </c>
      <c r="K5821" t="s">
        <v>57</v>
      </c>
      <c r="L5821">
        <v>3600023679</v>
      </c>
    </row>
    <row r="5822" spans="3:12">
      <c r="C5822">
        <v>2100300025</v>
      </c>
      <c r="D5822">
        <v>6410210</v>
      </c>
      <c r="E5822">
        <v>90909520000000</v>
      </c>
      <c r="F5822">
        <v>5101030101</v>
      </c>
      <c r="G5822" s="13">
        <v>16800</v>
      </c>
      <c r="I5822" t="s">
        <v>147</v>
      </c>
      <c r="J5822" t="s">
        <v>846</v>
      </c>
      <c r="K5822" t="s">
        <v>57</v>
      </c>
      <c r="L5822">
        <v>3600030683</v>
      </c>
    </row>
    <row r="5823" spans="3:12">
      <c r="C5823">
        <v>2100300025</v>
      </c>
      <c r="D5823">
        <v>6410210</v>
      </c>
      <c r="E5823">
        <v>90909520000000</v>
      </c>
      <c r="F5823">
        <v>5101030101</v>
      </c>
      <c r="G5823" s="13">
        <v>9000</v>
      </c>
      <c r="I5823" t="s">
        <v>147</v>
      </c>
      <c r="J5823" t="s">
        <v>847</v>
      </c>
      <c r="K5823" t="s">
        <v>57</v>
      </c>
      <c r="L5823">
        <v>3600029701</v>
      </c>
    </row>
    <row r="5824" spans="3:12">
      <c r="C5824">
        <v>2100300025</v>
      </c>
      <c r="D5824">
        <v>6410210</v>
      </c>
      <c r="E5824">
        <v>90909520000000</v>
      </c>
      <c r="F5824">
        <v>5101030101</v>
      </c>
      <c r="G5824" s="13">
        <v>15550</v>
      </c>
      <c r="I5824" t="s">
        <v>147</v>
      </c>
      <c r="J5824" t="s">
        <v>957</v>
      </c>
      <c r="K5824" t="s">
        <v>57</v>
      </c>
      <c r="L5824">
        <v>3600030764</v>
      </c>
    </row>
    <row r="5825" spans="3:12">
      <c r="C5825">
        <v>2100300025</v>
      </c>
      <c r="D5825">
        <v>6410210</v>
      </c>
      <c r="E5825">
        <v>90909520000000</v>
      </c>
      <c r="F5825">
        <v>5101030101</v>
      </c>
      <c r="G5825" s="13">
        <v>2400</v>
      </c>
      <c r="I5825" t="s">
        <v>147</v>
      </c>
      <c r="J5825" t="s">
        <v>961</v>
      </c>
      <c r="K5825" t="s">
        <v>57</v>
      </c>
      <c r="L5825">
        <v>3600032015</v>
      </c>
    </row>
    <row r="5826" spans="3:12">
      <c r="C5826">
        <v>2100300025</v>
      </c>
      <c r="D5826">
        <v>6410210</v>
      </c>
      <c r="E5826">
        <v>90909520000000</v>
      </c>
      <c r="F5826">
        <v>5101030101</v>
      </c>
      <c r="G5826" s="13">
        <v>8350</v>
      </c>
      <c r="I5826" t="s">
        <v>147</v>
      </c>
      <c r="J5826" t="s">
        <v>961</v>
      </c>
      <c r="K5826" t="s">
        <v>57</v>
      </c>
      <c r="L5826">
        <v>3600031822</v>
      </c>
    </row>
    <row r="5827" spans="3:12">
      <c r="C5827">
        <v>2100300025</v>
      </c>
      <c r="D5827">
        <v>6410210</v>
      </c>
      <c r="E5827">
        <v>90909520000000</v>
      </c>
      <c r="F5827">
        <v>5101030101</v>
      </c>
      <c r="G5827" s="13">
        <v>2400</v>
      </c>
      <c r="I5827" t="s">
        <v>147</v>
      </c>
      <c r="J5827" t="s">
        <v>855</v>
      </c>
      <c r="K5827" t="s">
        <v>57</v>
      </c>
      <c r="L5827">
        <v>3600031855</v>
      </c>
    </row>
    <row r="5828" spans="3:12">
      <c r="C5828">
        <v>2100300025</v>
      </c>
      <c r="D5828">
        <v>6410210</v>
      </c>
      <c r="E5828">
        <v>90909520000000</v>
      </c>
      <c r="F5828">
        <v>5101030101</v>
      </c>
      <c r="G5828" s="13">
        <v>12500</v>
      </c>
      <c r="I5828" t="s">
        <v>147</v>
      </c>
      <c r="J5828" t="s">
        <v>965</v>
      </c>
      <c r="K5828" t="s">
        <v>57</v>
      </c>
      <c r="L5828">
        <v>3600033251</v>
      </c>
    </row>
    <row r="5829" spans="3:12">
      <c r="C5829">
        <v>2100300025</v>
      </c>
      <c r="D5829">
        <v>6410210</v>
      </c>
      <c r="E5829">
        <v>90909520000000</v>
      </c>
      <c r="F5829">
        <v>5101030205</v>
      </c>
      <c r="G5829">
        <v>794</v>
      </c>
      <c r="I5829" t="s">
        <v>147</v>
      </c>
      <c r="J5829" t="s">
        <v>965</v>
      </c>
      <c r="K5829" t="s">
        <v>149</v>
      </c>
      <c r="L5829">
        <v>3600032355</v>
      </c>
    </row>
    <row r="5830" spans="3:12">
      <c r="C5830">
        <v>2100300025</v>
      </c>
      <c r="D5830">
        <v>6410210</v>
      </c>
      <c r="E5830">
        <v>90909520000000</v>
      </c>
      <c r="F5830">
        <v>5101030101</v>
      </c>
      <c r="G5830" s="13">
        <v>5800</v>
      </c>
      <c r="I5830" t="s">
        <v>147</v>
      </c>
      <c r="J5830" t="s">
        <v>970</v>
      </c>
      <c r="K5830" t="s">
        <v>57</v>
      </c>
      <c r="L5830">
        <v>3600035528</v>
      </c>
    </row>
    <row r="5831" spans="3:12">
      <c r="C5831">
        <v>2100300025</v>
      </c>
      <c r="D5831">
        <v>6410210</v>
      </c>
      <c r="E5831">
        <v>90909520000000</v>
      </c>
      <c r="F5831">
        <v>5101030101</v>
      </c>
      <c r="G5831" s="13">
        <v>16500</v>
      </c>
      <c r="I5831" t="s">
        <v>147</v>
      </c>
      <c r="J5831" t="s">
        <v>859</v>
      </c>
      <c r="K5831" t="s">
        <v>57</v>
      </c>
      <c r="L5831">
        <v>3600029894</v>
      </c>
    </row>
    <row r="5832" spans="3:12">
      <c r="C5832">
        <v>2100300025</v>
      </c>
      <c r="D5832">
        <v>6410210</v>
      </c>
      <c r="E5832">
        <v>90909520000000</v>
      </c>
      <c r="F5832">
        <v>5101030101</v>
      </c>
      <c r="G5832" s="13">
        <v>4000</v>
      </c>
      <c r="I5832" t="s">
        <v>147</v>
      </c>
      <c r="J5832" t="s">
        <v>973</v>
      </c>
      <c r="K5832" t="s">
        <v>57</v>
      </c>
      <c r="L5832">
        <v>3600023987</v>
      </c>
    </row>
    <row r="5833" spans="3:12">
      <c r="C5833">
        <v>2100300025</v>
      </c>
      <c r="D5833">
        <v>6410210</v>
      </c>
      <c r="E5833">
        <v>90909520000000</v>
      </c>
      <c r="F5833">
        <v>5101030101</v>
      </c>
      <c r="G5833" s="13">
        <v>4500</v>
      </c>
      <c r="I5833" t="s">
        <v>147</v>
      </c>
      <c r="J5833" t="s">
        <v>861</v>
      </c>
      <c r="K5833" t="s">
        <v>57</v>
      </c>
      <c r="L5833">
        <v>3600034884</v>
      </c>
    </row>
    <row r="5834" spans="3:12">
      <c r="C5834">
        <v>2100300025</v>
      </c>
      <c r="D5834">
        <v>6410210</v>
      </c>
      <c r="E5834">
        <v>90909520000000</v>
      </c>
      <c r="F5834">
        <v>5101030101</v>
      </c>
      <c r="G5834" s="13">
        <v>18900</v>
      </c>
      <c r="I5834" t="s">
        <v>147</v>
      </c>
      <c r="J5834" t="s">
        <v>862</v>
      </c>
      <c r="K5834" t="s">
        <v>57</v>
      </c>
      <c r="L5834">
        <v>3600037627</v>
      </c>
    </row>
    <row r="5835" spans="3:12">
      <c r="C5835">
        <v>2100300025</v>
      </c>
      <c r="D5835">
        <v>6410210</v>
      </c>
      <c r="E5835">
        <v>90909520000000</v>
      </c>
      <c r="F5835">
        <v>5101030101</v>
      </c>
      <c r="G5835" s="13">
        <v>5000</v>
      </c>
      <c r="I5835" t="s">
        <v>147</v>
      </c>
      <c r="J5835" t="s">
        <v>982</v>
      </c>
      <c r="K5835" t="s">
        <v>57</v>
      </c>
      <c r="L5835">
        <v>3600040515</v>
      </c>
    </row>
    <row r="5836" spans="3:12">
      <c r="C5836">
        <v>2100300025</v>
      </c>
      <c r="D5836">
        <v>6410210</v>
      </c>
      <c r="E5836">
        <v>90909520000000</v>
      </c>
      <c r="F5836">
        <v>5101030101</v>
      </c>
      <c r="G5836" s="13">
        <v>18500</v>
      </c>
      <c r="I5836" t="s">
        <v>147</v>
      </c>
      <c r="J5836" t="s">
        <v>866</v>
      </c>
      <c r="K5836" t="s">
        <v>57</v>
      </c>
      <c r="L5836">
        <v>3600042512</v>
      </c>
    </row>
    <row r="5837" spans="3:12">
      <c r="C5837">
        <v>2100300025</v>
      </c>
      <c r="D5837">
        <v>6410210</v>
      </c>
      <c r="E5837">
        <v>90909520000000</v>
      </c>
      <c r="F5837">
        <v>5101030101</v>
      </c>
      <c r="G5837" s="13">
        <v>10800</v>
      </c>
      <c r="I5837" t="s">
        <v>147</v>
      </c>
      <c r="J5837" t="s">
        <v>866</v>
      </c>
      <c r="K5837" t="s">
        <v>57</v>
      </c>
      <c r="L5837">
        <v>3600041253</v>
      </c>
    </row>
    <row r="5838" spans="3:12">
      <c r="C5838">
        <v>2100300025</v>
      </c>
      <c r="D5838">
        <v>6410210</v>
      </c>
      <c r="E5838">
        <v>90909520000000</v>
      </c>
      <c r="F5838">
        <v>5101030101</v>
      </c>
      <c r="G5838" s="13">
        <v>2400</v>
      </c>
      <c r="I5838" t="s">
        <v>147</v>
      </c>
      <c r="J5838" t="s">
        <v>868</v>
      </c>
      <c r="K5838" t="s">
        <v>57</v>
      </c>
      <c r="L5838">
        <v>3600038004</v>
      </c>
    </row>
    <row r="5839" spans="3:12">
      <c r="C5839">
        <v>2100300025</v>
      </c>
      <c r="D5839">
        <v>6410210</v>
      </c>
      <c r="E5839">
        <v>90909520000000</v>
      </c>
      <c r="F5839">
        <v>5101030101</v>
      </c>
      <c r="G5839" s="13">
        <v>2100</v>
      </c>
      <c r="I5839" t="s">
        <v>147</v>
      </c>
      <c r="J5839" t="s">
        <v>867</v>
      </c>
      <c r="K5839" t="s">
        <v>57</v>
      </c>
      <c r="L5839">
        <v>3600038521</v>
      </c>
    </row>
    <row r="5840" spans="3:12">
      <c r="C5840">
        <v>2100300025</v>
      </c>
      <c r="D5840">
        <v>6410210</v>
      </c>
      <c r="E5840">
        <v>90909520000000</v>
      </c>
      <c r="F5840">
        <v>5101030101</v>
      </c>
      <c r="G5840" s="13">
        <v>2800</v>
      </c>
      <c r="I5840" t="s">
        <v>147</v>
      </c>
      <c r="J5840" t="s">
        <v>980</v>
      </c>
      <c r="K5840" t="s">
        <v>57</v>
      </c>
      <c r="L5840">
        <v>3600040636</v>
      </c>
    </row>
    <row r="5841" spans="3:12">
      <c r="C5841">
        <v>2100300025</v>
      </c>
      <c r="D5841">
        <v>6410210</v>
      </c>
      <c r="E5841">
        <v>90909520000000</v>
      </c>
      <c r="F5841">
        <v>5101030101</v>
      </c>
      <c r="G5841" s="13">
        <v>10000</v>
      </c>
      <c r="I5841" t="s">
        <v>147</v>
      </c>
      <c r="J5841" t="s">
        <v>870</v>
      </c>
      <c r="K5841" t="s">
        <v>57</v>
      </c>
      <c r="L5841">
        <v>3600006037</v>
      </c>
    </row>
    <row r="5842" spans="3:12">
      <c r="C5842">
        <v>2100300025</v>
      </c>
      <c r="D5842">
        <v>6410210</v>
      </c>
      <c r="E5842">
        <v>90909520000000</v>
      </c>
      <c r="F5842">
        <v>5101030205</v>
      </c>
      <c r="G5842" s="13">
        <v>7955</v>
      </c>
      <c r="I5842" t="s">
        <v>147</v>
      </c>
      <c r="J5842" t="s">
        <v>803</v>
      </c>
      <c r="K5842" t="s">
        <v>149</v>
      </c>
      <c r="L5842">
        <v>3600003921</v>
      </c>
    </row>
    <row r="5843" spans="3:12">
      <c r="C5843">
        <v>2100300025</v>
      </c>
      <c r="D5843">
        <v>6410210</v>
      </c>
      <c r="E5843">
        <v>90909520000000</v>
      </c>
      <c r="F5843">
        <v>5101030205</v>
      </c>
      <c r="G5843">
        <v>110</v>
      </c>
      <c r="I5843" t="s">
        <v>147</v>
      </c>
      <c r="J5843" t="s">
        <v>878</v>
      </c>
      <c r="K5843" t="s">
        <v>149</v>
      </c>
      <c r="L5843">
        <v>3600002081</v>
      </c>
    </row>
    <row r="5844" spans="3:12">
      <c r="C5844">
        <v>2100300025</v>
      </c>
      <c r="D5844">
        <v>6410210</v>
      </c>
      <c r="E5844">
        <v>90909520000000</v>
      </c>
      <c r="F5844">
        <v>5101040204</v>
      </c>
      <c r="G5844">
        <v>350</v>
      </c>
      <c r="I5844" t="s">
        <v>147</v>
      </c>
      <c r="J5844" t="s">
        <v>878</v>
      </c>
      <c r="K5844" t="s">
        <v>487</v>
      </c>
      <c r="L5844">
        <v>3600000430</v>
      </c>
    </row>
    <row r="5845" spans="3:12">
      <c r="C5845">
        <v>2100300025</v>
      </c>
      <c r="D5845">
        <v>6410210</v>
      </c>
      <c r="E5845">
        <v>90909520000000</v>
      </c>
      <c r="F5845">
        <v>5101030205</v>
      </c>
      <c r="G5845">
        <v>620</v>
      </c>
      <c r="I5845" t="s">
        <v>147</v>
      </c>
      <c r="J5845" t="s">
        <v>810</v>
      </c>
      <c r="K5845" t="s">
        <v>149</v>
      </c>
      <c r="L5845">
        <v>3600005382</v>
      </c>
    </row>
    <row r="5846" spans="3:12">
      <c r="C5846">
        <v>2100300025</v>
      </c>
      <c r="D5846">
        <v>6410210</v>
      </c>
      <c r="E5846">
        <v>90909520000000</v>
      </c>
      <c r="F5846">
        <v>5101030205</v>
      </c>
      <c r="G5846">
        <v>145</v>
      </c>
      <c r="I5846" t="s">
        <v>147</v>
      </c>
      <c r="J5846" t="s">
        <v>885</v>
      </c>
      <c r="K5846" t="s">
        <v>149</v>
      </c>
      <c r="L5846">
        <v>3600007410</v>
      </c>
    </row>
    <row r="5847" spans="3:12">
      <c r="C5847">
        <v>2100300025</v>
      </c>
      <c r="D5847">
        <v>6410210</v>
      </c>
      <c r="E5847">
        <v>90909520000000</v>
      </c>
      <c r="F5847">
        <v>5101030205</v>
      </c>
      <c r="G5847" s="13">
        <v>9490</v>
      </c>
      <c r="I5847" t="s">
        <v>147</v>
      </c>
      <c r="J5847" t="s">
        <v>808</v>
      </c>
      <c r="K5847" t="s">
        <v>149</v>
      </c>
      <c r="L5847">
        <v>3600005412</v>
      </c>
    </row>
    <row r="5848" spans="3:12">
      <c r="C5848">
        <v>2100300025</v>
      </c>
      <c r="D5848">
        <v>6410210</v>
      </c>
      <c r="E5848">
        <v>90909520000000</v>
      </c>
      <c r="F5848">
        <v>5101030205</v>
      </c>
      <c r="G5848" s="13">
        <v>6736.5</v>
      </c>
      <c r="I5848" t="s">
        <v>147</v>
      </c>
      <c r="J5848" t="s">
        <v>892</v>
      </c>
      <c r="K5848" t="s">
        <v>149</v>
      </c>
      <c r="L5848">
        <v>3600007459</v>
      </c>
    </row>
    <row r="5849" spans="3:12">
      <c r="C5849">
        <v>2100300025</v>
      </c>
      <c r="D5849">
        <v>6410210</v>
      </c>
      <c r="E5849">
        <v>90909520000000</v>
      </c>
      <c r="F5849">
        <v>5101030205</v>
      </c>
      <c r="G5849">
        <v>701</v>
      </c>
      <c r="I5849" t="s">
        <v>147</v>
      </c>
      <c r="J5849" t="s">
        <v>902</v>
      </c>
      <c r="K5849" t="s">
        <v>149</v>
      </c>
      <c r="L5849">
        <v>3600013571</v>
      </c>
    </row>
    <row r="5850" spans="3:12">
      <c r="C5850">
        <v>2100300025</v>
      </c>
      <c r="D5850">
        <v>6410210</v>
      </c>
      <c r="E5850">
        <v>90909520000000</v>
      </c>
      <c r="F5850">
        <v>5101030205</v>
      </c>
      <c r="G5850" s="13">
        <v>3810</v>
      </c>
      <c r="I5850" t="s">
        <v>147</v>
      </c>
      <c r="J5850" t="s">
        <v>903</v>
      </c>
      <c r="K5850" t="s">
        <v>149</v>
      </c>
      <c r="L5850">
        <v>3600014545</v>
      </c>
    </row>
    <row r="5851" spans="3:12">
      <c r="C5851">
        <v>2100300025</v>
      </c>
      <c r="D5851">
        <v>6410210</v>
      </c>
      <c r="E5851">
        <v>90909520000000</v>
      </c>
      <c r="F5851">
        <v>5101030205</v>
      </c>
      <c r="G5851" s="13">
        <v>13470</v>
      </c>
      <c r="I5851" t="s">
        <v>147</v>
      </c>
      <c r="J5851" t="s">
        <v>906</v>
      </c>
      <c r="K5851" t="s">
        <v>149</v>
      </c>
      <c r="L5851">
        <v>3600013998</v>
      </c>
    </row>
    <row r="5852" spans="3:12">
      <c r="C5852">
        <v>2100300025</v>
      </c>
      <c r="D5852">
        <v>6410210</v>
      </c>
      <c r="E5852">
        <v>90909520000000</v>
      </c>
      <c r="F5852">
        <v>5101030205</v>
      </c>
      <c r="G5852" s="13">
        <v>14500</v>
      </c>
      <c r="I5852" t="s">
        <v>147</v>
      </c>
      <c r="J5852" t="s">
        <v>908</v>
      </c>
      <c r="K5852" t="s">
        <v>149</v>
      </c>
      <c r="L5852">
        <v>3600016756</v>
      </c>
    </row>
    <row r="5853" spans="3:12">
      <c r="C5853">
        <v>2100300025</v>
      </c>
      <c r="D5853">
        <v>6410210</v>
      </c>
      <c r="E5853">
        <v>90909520000000</v>
      </c>
      <c r="F5853">
        <v>5101030205</v>
      </c>
      <c r="G5853" s="13">
        <v>17500</v>
      </c>
      <c r="I5853" t="s">
        <v>147</v>
      </c>
      <c r="J5853" t="s">
        <v>911</v>
      </c>
      <c r="K5853" t="s">
        <v>149</v>
      </c>
      <c r="L5853">
        <v>3600006006</v>
      </c>
    </row>
    <row r="5854" spans="3:12">
      <c r="C5854">
        <v>2100300025</v>
      </c>
      <c r="D5854">
        <v>6410210</v>
      </c>
      <c r="E5854">
        <v>90909520000000</v>
      </c>
      <c r="F5854">
        <v>5101030205</v>
      </c>
      <c r="G5854" s="13">
        <v>1080</v>
      </c>
      <c r="I5854" t="s">
        <v>147</v>
      </c>
      <c r="J5854" t="s">
        <v>567</v>
      </c>
      <c r="K5854" t="s">
        <v>149</v>
      </c>
      <c r="L5854">
        <v>3600016283</v>
      </c>
    </row>
    <row r="5855" spans="3:12">
      <c r="C5855">
        <v>2100300025</v>
      </c>
      <c r="D5855">
        <v>6410210</v>
      </c>
      <c r="E5855">
        <v>90909520000000</v>
      </c>
      <c r="F5855">
        <v>5101030205</v>
      </c>
      <c r="G5855" s="13">
        <v>2060</v>
      </c>
      <c r="I5855" t="s">
        <v>147</v>
      </c>
      <c r="J5855" t="s">
        <v>915</v>
      </c>
      <c r="K5855" t="s">
        <v>149</v>
      </c>
      <c r="L5855">
        <v>3600017497</v>
      </c>
    </row>
    <row r="5856" spans="3:12">
      <c r="C5856">
        <v>2100300025</v>
      </c>
      <c r="D5856">
        <v>6410210</v>
      </c>
      <c r="E5856">
        <v>90909520000000</v>
      </c>
      <c r="F5856">
        <v>5101030205</v>
      </c>
      <c r="G5856" s="13">
        <v>1616</v>
      </c>
      <c r="I5856" t="s">
        <v>147</v>
      </c>
      <c r="J5856" t="s">
        <v>823</v>
      </c>
      <c r="K5856" t="s">
        <v>149</v>
      </c>
      <c r="L5856">
        <v>3600017428</v>
      </c>
    </row>
    <row r="5857" spans="3:12">
      <c r="C5857">
        <v>2100300025</v>
      </c>
      <c r="D5857">
        <v>6410210</v>
      </c>
      <c r="E5857">
        <v>90909520000000</v>
      </c>
      <c r="F5857">
        <v>5101030205</v>
      </c>
      <c r="G5857" s="13">
        <v>9530</v>
      </c>
      <c r="I5857" t="s">
        <v>147</v>
      </c>
      <c r="J5857" t="s">
        <v>918</v>
      </c>
      <c r="K5857" t="s">
        <v>149</v>
      </c>
      <c r="L5857">
        <v>3600019641</v>
      </c>
    </row>
    <row r="5858" spans="3:12">
      <c r="C5858">
        <v>2100300025</v>
      </c>
      <c r="D5858">
        <v>6410210</v>
      </c>
      <c r="E5858">
        <v>90909520000000</v>
      </c>
      <c r="F5858">
        <v>5101030205</v>
      </c>
      <c r="G5858" s="13">
        <v>1790</v>
      </c>
      <c r="I5858" t="s">
        <v>147</v>
      </c>
      <c r="J5858" t="s">
        <v>919</v>
      </c>
      <c r="K5858" t="s">
        <v>149</v>
      </c>
      <c r="L5858">
        <v>3600017705</v>
      </c>
    </row>
    <row r="5859" spans="3:12">
      <c r="C5859">
        <v>2100300025</v>
      </c>
      <c r="D5859">
        <v>6410210</v>
      </c>
      <c r="E5859">
        <v>90909520000000</v>
      </c>
      <c r="F5859">
        <v>5101030205</v>
      </c>
      <c r="G5859" s="13">
        <v>2630</v>
      </c>
      <c r="I5859" t="s">
        <v>147</v>
      </c>
      <c r="J5859" t="s">
        <v>824</v>
      </c>
      <c r="K5859" t="s">
        <v>149</v>
      </c>
      <c r="L5859">
        <v>3600019901</v>
      </c>
    </row>
    <row r="5860" spans="3:12">
      <c r="C5860">
        <v>2100300025</v>
      </c>
      <c r="D5860">
        <v>6410210</v>
      </c>
      <c r="E5860">
        <v>90909520000000</v>
      </c>
      <c r="F5860">
        <v>5101030205</v>
      </c>
      <c r="G5860">
        <v>420</v>
      </c>
      <c r="I5860" t="s">
        <v>147</v>
      </c>
      <c r="J5860" t="s">
        <v>920</v>
      </c>
      <c r="K5860" t="s">
        <v>149</v>
      </c>
      <c r="L5860">
        <v>3600017077</v>
      </c>
    </row>
    <row r="5861" spans="3:12">
      <c r="C5861">
        <v>2100300025</v>
      </c>
      <c r="D5861">
        <v>6410210</v>
      </c>
      <c r="E5861">
        <v>90909520000000</v>
      </c>
      <c r="F5861">
        <v>5101030205</v>
      </c>
      <c r="G5861" s="13">
        <v>5505</v>
      </c>
      <c r="I5861" t="s">
        <v>147</v>
      </c>
      <c r="J5861" t="s">
        <v>924</v>
      </c>
      <c r="K5861" t="s">
        <v>149</v>
      </c>
      <c r="L5861">
        <v>3600023009</v>
      </c>
    </row>
    <row r="5862" spans="3:12">
      <c r="C5862">
        <v>2100300025</v>
      </c>
      <c r="D5862">
        <v>6410210</v>
      </c>
      <c r="E5862">
        <v>90909520000000</v>
      </c>
      <c r="F5862">
        <v>5101040204</v>
      </c>
      <c r="G5862">
        <v>750</v>
      </c>
      <c r="I5862" t="s">
        <v>147</v>
      </c>
      <c r="J5862" t="s">
        <v>924</v>
      </c>
      <c r="K5862" t="s">
        <v>487</v>
      </c>
      <c r="L5862">
        <v>3600021945</v>
      </c>
    </row>
    <row r="5863" spans="3:12">
      <c r="C5863">
        <v>2100300025</v>
      </c>
      <c r="D5863">
        <v>6410210</v>
      </c>
      <c r="E5863">
        <v>90909520000000</v>
      </c>
      <c r="F5863">
        <v>5101030205</v>
      </c>
      <c r="G5863" s="13">
        <v>1050</v>
      </c>
      <c r="I5863" t="s">
        <v>147</v>
      </c>
      <c r="J5863" t="s">
        <v>564</v>
      </c>
      <c r="K5863" t="s">
        <v>149</v>
      </c>
      <c r="L5863">
        <v>3600006009</v>
      </c>
    </row>
    <row r="5864" spans="3:12">
      <c r="C5864">
        <v>2100300025</v>
      </c>
      <c r="D5864">
        <v>6410210</v>
      </c>
      <c r="E5864">
        <v>90909520000000</v>
      </c>
      <c r="F5864">
        <v>5101030205</v>
      </c>
      <c r="G5864" s="13">
        <v>20805</v>
      </c>
      <c r="I5864" t="s">
        <v>147</v>
      </c>
      <c r="J5864" t="s">
        <v>836</v>
      </c>
      <c r="K5864" t="s">
        <v>149</v>
      </c>
      <c r="L5864">
        <v>3600024405</v>
      </c>
    </row>
    <row r="5865" spans="3:12">
      <c r="C5865">
        <v>2100300025</v>
      </c>
      <c r="D5865">
        <v>6410210</v>
      </c>
      <c r="E5865">
        <v>90909520000000</v>
      </c>
      <c r="F5865">
        <v>5101030205</v>
      </c>
      <c r="G5865" s="13">
        <v>1250</v>
      </c>
      <c r="I5865" t="s">
        <v>147</v>
      </c>
      <c r="J5865" t="s">
        <v>940</v>
      </c>
      <c r="K5865" t="s">
        <v>149</v>
      </c>
      <c r="L5865">
        <v>3600020560</v>
      </c>
    </row>
    <row r="5866" spans="3:12">
      <c r="C5866">
        <v>2100300025</v>
      </c>
      <c r="D5866">
        <v>6410210</v>
      </c>
      <c r="E5866">
        <v>90909520000000</v>
      </c>
      <c r="F5866">
        <v>5101030205</v>
      </c>
      <c r="G5866" s="13">
        <v>3150</v>
      </c>
      <c r="I5866" t="s">
        <v>147</v>
      </c>
      <c r="J5866" t="s">
        <v>943</v>
      </c>
      <c r="K5866" t="s">
        <v>149</v>
      </c>
      <c r="L5866">
        <v>3600026754</v>
      </c>
    </row>
    <row r="5867" spans="3:12">
      <c r="C5867">
        <v>2100300025</v>
      </c>
      <c r="D5867">
        <v>6410210</v>
      </c>
      <c r="E5867">
        <v>90909520000000</v>
      </c>
      <c r="F5867">
        <v>5101030205</v>
      </c>
      <c r="G5867" s="13">
        <v>1616</v>
      </c>
      <c r="I5867" t="s">
        <v>147</v>
      </c>
      <c r="J5867" t="s">
        <v>946</v>
      </c>
      <c r="K5867" t="s">
        <v>149</v>
      </c>
      <c r="L5867">
        <v>3600029360</v>
      </c>
    </row>
    <row r="5868" spans="3:12">
      <c r="C5868">
        <v>2100300025</v>
      </c>
      <c r="D5868">
        <v>6410210</v>
      </c>
      <c r="E5868">
        <v>90909520000000</v>
      </c>
      <c r="F5868">
        <v>5101030205</v>
      </c>
      <c r="G5868" s="13">
        <v>2250</v>
      </c>
      <c r="I5868" t="s">
        <v>147</v>
      </c>
      <c r="J5868" t="s">
        <v>846</v>
      </c>
      <c r="K5868" t="s">
        <v>149</v>
      </c>
      <c r="L5868">
        <v>3600031511</v>
      </c>
    </row>
    <row r="5869" spans="3:12">
      <c r="C5869">
        <v>2100300025</v>
      </c>
      <c r="D5869">
        <v>6410210</v>
      </c>
      <c r="E5869">
        <v>90909520000000</v>
      </c>
      <c r="F5869">
        <v>5101030205</v>
      </c>
      <c r="G5869" s="13">
        <v>4054</v>
      </c>
      <c r="I5869" t="s">
        <v>147</v>
      </c>
      <c r="J5869" t="s">
        <v>846</v>
      </c>
      <c r="K5869" t="s">
        <v>149</v>
      </c>
      <c r="L5869">
        <v>3600030686</v>
      </c>
    </row>
    <row r="5870" spans="3:12">
      <c r="C5870">
        <v>2100300025</v>
      </c>
      <c r="D5870">
        <v>6410210</v>
      </c>
      <c r="E5870">
        <v>90909520000000</v>
      </c>
      <c r="F5870">
        <v>5101030205</v>
      </c>
      <c r="G5870" s="13">
        <v>8210</v>
      </c>
      <c r="I5870" t="s">
        <v>147</v>
      </c>
      <c r="J5870" t="s">
        <v>959</v>
      </c>
      <c r="K5870" t="s">
        <v>149</v>
      </c>
      <c r="L5870">
        <v>3600031958</v>
      </c>
    </row>
    <row r="5871" spans="3:12">
      <c r="C5871">
        <v>2100300025</v>
      </c>
      <c r="D5871">
        <v>6410210</v>
      </c>
      <c r="E5871">
        <v>90909520000000</v>
      </c>
      <c r="F5871">
        <v>5101030205</v>
      </c>
      <c r="G5871" s="13">
        <v>1000</v>
      </c>
      <c r="I5871" t="s">
        <v>147</v>
      </c>
      <c r="J5871" t="s">
        <v>960</v>
      </c>
      <c r="K5871" t="s">
        <v>149</v>
      </c>
      <c r="L5871">
        <v>3600032804</v>
      </c>
    </row>
    <row r="5872" spans="3:12">
      <c r="C5872">
        <v>2100300025</v>
      </c>
      <c r="D5872">
        <v>6410210</v>
      </c>
      <c r="E5872">
        <v>90909520000000</v>
      </c>
      <c r="F5872">
        <v>5101030205</v>
      </c>
      <c r="G5872" s="13">
        <v>1200</v>
      </c>
      <c r="I5872" t="s">
        <v>147</v>
      </c>
      <c r="J5872" t="s">
        <v>960</v>
      </c>
      <c r="K5872" t="s">
        <v>149</v>
      </c>
      <c r="L5872">
        <v>3600033153</v>
      </c>
    </row>
    <row r="5873" spans="3:12">
      <c r="C5873">
        <v>2100300025</v>
      </c>
      <c r="D5873">
        <v>6410210</v>
      </c>
      <c r="E5873">
        <v>90909520000000</v>
      </c>
      <c r="F5873">
        <v>5101030205</v>
      </c>
      <c r="G5873" s="13">
        <v>3980</v>
      </c>
      <c r="I5873" t="s">
        <v>147</v>
      </c>
      <c r="J5873" t="s">
        <v>965</v>
      </c>
      <c r="K5873" t="s">
        <v>149</v>
      </c>
      <c r="L5873">
        <v>3600032353</v>
      </c>
    </row>
    <row r="5874" spans="3:12">
      <c r="C5874">
        <v>2100300025</v>
      </c>
      <c r="D5874">
        <v>6410210</v>
      </c>
      <c r="E5874">
        <v>90909520000000</v>
      </c>
      <c r="F5874">
        <v>5101030205</v>
      </c>
      <c r="G5874" s="13">
        <v>1670</v>
      </c>
      <c r="I5874" t="s">
        <v>147</v>
      </c>
      <c r="J5874" t="s">
        <v>966</v>
      </c>
      <c r="K5874" t="s">
        <v>149</v>
      </c>
      <c r="L5874">
        <v>3600030086</v>
      </c>
    </row>
    <row r="5875" spans="3:12">
      <c r="C5875">
        <v>2100300025</v>
      </c>
      <c r="D5875">
        <v>6410210</v>
      </c>
      <c r="E5875">
        <v>90909520000000</v>
      </c>
      <c r="F5875">
        <v>5101030205</v>
      </c>
      <c r="G5875" s="13">
        <v>15700</v>
      </c>
      <c r="I5875" t="s">
        <v>147</v>
      </c>
      <c r="J5875" t="s">
        <v>967</v>
      </c>
      <c r="K5875" t="s">
        <v>149</v>
      </c>
      <c r="L5875">
        <v>3600032391</v>
      </c>
    </row>
    <row r="5876" spans="3:12">
      <c r="C5876">
        <v>2100300025</v>
      </c>
      <c r="D5876">
        <v>6410210</v>
      </c>
      <c r="E5876">
        <v>90909520000000</v>
      </c>
      <c r="F5876">
        <v>5101030205</v>
      </c>
      <c r="G5876">
        <v>220</v>
      </c>
      <c r="I5876" t="s">
        <v>147</v>
      </c>
      <c r="J5876" t="s">
        <v>970</v>
      </c>
      <c r="K5876" t="s">
        <v>149</v>
      </c>
      <c r="L5876">
        <v>3600035459</v>
      </c>
    </row>
    <row r="5877" spans="3:12">
      <c r="C5877">
        <v>2100300025</v>
      </c>
      <c r="D5877">
        <v>6410210</v>
      </c>
      <c r="E5877">
        <v>90909520000000</v>
      </c>
      <c r="F5877">
        <v>5101040204</v>
      </c>
      <c r="G5877" s="13">
        <v>3340</v>
      </c>
      <c r="I5877" t="s">
        <v>147</v>
      </c>
      <c r="J5877" t="s">
        <v>970</v>
      </c>
      <c r="K5877" t="s">
        <v>487</v>
      </c>
      <c r="L5877">
        <v>3600035859</v>
      </c>
    </row>
    <row r="5878" spans="3:12">
      <c r="C5878">
        <v>2100300025</v>
      </c>
      <c r="D5878">
        <v>6410210</v>
      </c>
      <c r="E5878">
        <v>90909520000000</v>
      </c>
      <c r="F5878">
        <v>5101030205</v>
      </c>
      <c r="G5878" s="13">
        <v>2080</v>
      </c>
      <c r="I5878" t="s">
        <v>147</v>
      </c>
      <c r="J5878" t="s">
        <v>970</v>
      </c>
      <c r="K5878" t="s">
        <v>149</v>
      </c>
      <c r="L5878">
        <v>3600035529</v>
      </c>
    </row>
    <row r="5879" spans="3:12">
      <c r="C5879">
        <v>2100300025</v>
      </c>
      <c r="D5879">
        <v>6410210</v>
      </c>
      <c r="E5879">
        <v>90909520000000</v>
      </c>
      <c r="F5879">
        <v>5101030205</v>
      </c>
      <c r="G5879" s="13">
        <v>8000</v>
      </c>
      <c r="I5879" t="s">
        <v>147</v>
      </c>
      <c r="J5879" t="s">
        <v>858</v>
      </c>
      <c r="K5879" t="s">
        <v>149</v>
      </c>
      <c r="L5879">
        <v>3600037039</v>
      </c>
    </row>
    <row r="5880" spans="3:12">
      <c r="C5880">
        <v>2100300025</v>
      </c>
      <c r="D5880">
        <v>6410210</v>
      </c>
      <c r="E5880">
        <v>90909520000000</v>
      </c>
      <c r="F5880">
        <v>5101030205</v>
      </c>
      <c r="G5880" s="13">
        <v>4580</v>
      </c>
      <c r="I5880" t="s">
        <v>147</v>
      </c>
      <c r="J5880" t="s">
        <v>859</v>
      </c>
      <c r="K5880" t="s">
        <v>149</v>
      </c>
      <c r="L5880">
        <v>3600023968</v>
      </c>
    </row>
    <row r="5881" spans="3:12">
      <c r="C5881">
        <v>2100300025</v>
      </c>
      <c r="D5881">
        <v>6410210</v>
      </c>
      <c r="E5881">
        <v>90909520000000</v>
      </c>
      <c r="F5881">
        <v>5101030205</v>
      </c>
      <c r="G5881" s="13">
        <v>1520</v>
      </c>
      <c r="I5881" t="s">
        <v>147</v>
      </c>
      <c r="J5881" t="s">
        <v>972</v>
      </c>
      <c r="K5881" t="s">
        <v>149</v>
      </c>
      <c r="L5881">
        <v>3600035116</v>
      </c>
    </row>
    <row r="5882" spans="3:12">
      <c r="C5882">
        <v>2100300025</v>
      </c>
      <c r="D5882">
        <v>6410210</v>
      </c>
      <c r="E5882">
        <v>90909520000000</v>
      </c>
      <c r="F5882">
        <v>5101030205</v>
      </c>
      <c r="G5882">
        <v>260</v>
      </c>
      <c r="I5882" t="s">
        <v>147</v>
      </c>
      <c r="J5882" t="s">
        <v>973</v>
      </c>
      <c r="K5882" t="s">
        <v>149</v>
      </c>
      <c r="L5882">
        <v>3600032850</v>
      </c>
    </row>
    <row r="5883" spans="3:12">
      <c r="C5883">
        <v>2100300025</v>
      </c>
      <c r="D5883">
        <v>6410210</v>
      </c>
      <c r="E5883">
        <v>90909520000000</v>
      </c>
      <c r="F5883">
        <v>5101030205</v>
      </c>
      <c r="G5883" s="13">
        <v>19900</v>
      </c>
      <c r="I5883" t="s">
        <v>147</v>
      </c>
      <c r="J5883" t="s">
        <v>988</v>
      </c>
      <c r="K5883" t="s">
        <v>149</v>
      </c>
      <c r="L5883">
        <v>3600042626</v>
      </c>
    </row>
    <row r="5884" spans="3:12">
      <c r="C5884">
        <v>2100300025</v>
      </c>
      <c r="D5884">
        <v>6410210</v>
      </c>
      <c r="E5884">
        <v>90909520000000</v>
      </c>
      <c r="F5884">
        <v>5101030208</v>
      </c>
      <c r="G5884" s="13">
        <v>4288.92</v>
      </c>
      <c r="I5884" t="s">
        <v>147</v>
      </c>
      <c r="J5884" t="s">
        <v>828</v>
      </c>
      <c r="K5884" t="s">
        <v>1046</v>
      </c>
      <c r="L5884">
        <v>3600020303</v>
      </c>
    </row>
    <row r="5885" spans="3:12">
      <c r="C5885">
        <v>2100300025</v>
      </c>
      <c r="D5885">
        <v>6410210</v>
      </c>
      <c r="E5885">
        <v>90909520000000</v>
      </c>
      <c r="F5885">
        <v>5101040204</v>
      </c>
      <c r="G5885" s="13">
        <v>3551</v>
      </c>
      <c r="I5885" t="s">
        <v>147</v>
      </c>
      <c r="J5885" t="s">
        <v>895</v>
      </c>
      <c r="K5885" t="s">
        <v>487</v>
      </c>
      <c r="L5885">
        <v>3600013242</v>
      </c>
    </row>
    <row r="5886" spans="3:12">
      <c r="C5886">
        <v>2100300025</v>
      </c>
      <c r="D5886">
        <v>6410210</v>
      </c>
      <c r="E5886">
        <v>90909520000000</v>
      </c>
      <c r="F5886">
        <v>5101040204</v>
      </c>
      <c r="G5886" s="13">
        <v>1370</v>
      </c>
      <c r="I5886" t="s">
        <v>147</v>
      </c>
      <c r="J5886" t="s">
        <v>897</v>
      </c>
      <c r="K5886" t="s">
        <v>487</v>
      </c>
      <c r="L5886">
        <v>3600001292</v>
      </c>
    </row>
    <row r="5887" spans="3:12">
      <c r="C5887">
        <v>2100300025</v>
      </c>
      <c r="D5887">
        <v>6410210</v>
      </c>
      <c r="E5887">
        <v>90909520000000</v>
      </c>
      <c r="F5887">
        <v>5101040204</v>
      </c>
      <c r="G5887">
        <v>500</v>
      </c>
      <c r="I5887" t="s">
        <v>147</v>
      </c>
      <c r="J5887" t="s">
        <v>906</v>
      </c>
      <c r="K5887" t="s">
        <v>487</v>
      </c>
      <c r="L5887">
        <v>3600000861</v>
      </c>
    </row>
    <row r="5888" spans="3:12">
      <c r="C5888">
        <v>2100300025</v>
      </c>
      <c r="D5888">
        <v>6410210</v>
      </c>
      <c r="E5888">
        <v>90909520000000</v>
      </c>
      <c r="F5888">
        <v>5101040204</v>
      </c>
      <c r="G5888" s="13">
        <v>1000</v>
      </c>
      <c r="I5888" t="s">
        <v>147</v>
      </c>
      <c r="J5888" t="s">
        <v>959</v>
      </c>
      <c r="K5888" t="s">
        <v>487</v>
      </c>
      <c r="L5888">
        <v>3600032113</v>
      </c>
    </row>
    <row r="5889" spans="3:12">
      <c r="C5889">
        <v>2100300025</v>
      </c>
      <c r="D5889">
        <v>6410210</v>
      </c>
      <c r="E5889">
        <v>90909520000000</v>
      </c>
      <c r="F5889">
        <v>5101040204</v>
      </c>
      <c r="G5889">
        <v>640</v>
      </c>
      <c r="I5889" t="s">
        <v>147</v>
      </c>
      <c r="J5889" t="s">
        <v>868</v>
      </c>
      <c r="K5889" t="s">
        <v>487</v>
      </c>
      <c r="L5889">
        <v>3600035362</v>
      </c>
    </row>
    <row r="5890" spans="3:12">
      <c r="C5890">
        <v>2100300025</v>
      </c>
      <c r="D5890">
        <v>6410210</v>
      </c>
      <c r="E5890">
        <v>90909520000000</v>
      </c>
      <c r="F5890">
        <v>5101040204</v>
      </c>
      <c r="G5890">
        <v>760</v>
      </c>
      <c r="I5890" t="s">
        <v>147</v>
      </c>
      <c r="J5890" t="s">
        <v>978</v>
      </c>
      <c r="K5890" t="s">
        <v>487</v>
      </c>
      <c r="L5890">
        <v>3600041948</v>
      </c>
    </row>
    <row r="5891" spans="3:12">
      <c r="C5891">
        <v>2100300025</v>
      </c>
      <c r="D5891">
        <v>6410210</v>
      </c>
      <c r="E5891">
        <v>90909520000000</v>
      </c>
      <c r="F5891">
        <v>5101040204</v>
      </c>
      <c r="G5891" s="13">
        <v>1200</v>
      </c>
      <c r="I5891" t="s">
        <v>147</v>
      </c>
      <c r="J5891" t="s">
        <v>869</v>
      </c>
      <c r="K5891" t="s">
        <v>487</v>
      </c>
      <c r="L5891">
        <v>3600041986</v>
      </c>
    </row>
    <row r="5892" spans="3:12">
      <c r="C5892">
        <v>2100300025</v>
      </c>
      <c r="D5892">
        <v>6411150</v>
      </c>
      <c r="E5892" t="s">
        <v>792</v>
      </c>
      <c r="F5892">
        <v>5101010115</v>
      </c>
      <c r="G5892" s="13">
        <v>393440</v>
      </c>
      <c r="H5892" t="s">
        <v>793</v>
      </c>
      <c r="I5892" t="s">
        <v>147</v>
      </c>
      <c r="J5892" t="s">
        <v>863</v>
      </c>
      <c r="K5892" t="s">
        <v>145</v>
      </c>
      <c r="L5892">
        <v>3600041630</v>
      </c>
    </row>
    <row r="5893" spans="3:12">
      <c r="C5893">
        <v>2100300025</v>
      </c>
      <c r="D5893">
        <v>6411220</v>
      </c>
      <c r="E5893" t="s">
        <v>792</v>
      </c>
      <c r="F5893">
        <v>5101020106</v>
      </c>
      <c r="G5893" s="13">
        <v>13692</v>
      </c>
      <c r="H5893" t="s">
        <v>793</v>
      </c>
      <c r="I5893" t="s">
        <v>147</v>
      </c>
      <c r="J5893" t="s">
        <v>561</v>
      </c>
      <c r="K5893" t="s">
        <v>148</v>
      </c>
      <c r="L5893">
        <v>3600024275</v>
      </c>
    </row>
    <row r="5894" spans="3:12">
      <c r="C5894">
        <v>2100300025</v>
      </c>
      <c r="D5894">
        <v>6411150</v>
      </c>
      <c r="E5894" t="s">
        <v>792</v>
      </c>
      <c r="F5894">
        <v>5101010115</v>
      </c>
      <c r="G5894" s="13">
        <v>382160</v>
      </c>
      <c r="H5894" t="s">
        <v>793</v>
      </c>
      <c r="I5894" t="s">
        <v>147</v>
      </c>
      <c r="J5894" t="s">
        <v>825</v>
      </c>
      <c r="K5894" t="s">
        <v>145</v>
      </c>
      <c r="L5894">
        <v>3600018093</v>
      </c>
    </row>
    <row r="5895" spans="3:12">
      <c r="C5895">
        <v>2100300025</v>
      </c>
      <c r="D5895">
        <v>6411150</v>
      </c>
      <c r="E5895" t="s">
        <v>792</v>
      </c>
      <c r="F5895">
        <v>5101010115</v>
      </c>
      <c r="G5895" s="13">
        <v>382160</v>
      </c>
      <c r="H5895" t="s">
        <v>793</v>
      </c>
      <c r="I5895" t="s">
        <v>147</v>
      </c>
      <c r="J5895" t="s">
        <v>931</v>
      </c>
      <c r="K5895" t="s">
        <v>145</v>
      </c>
      <c r="L5895">
        <v>3600025511</v>
      </c>
    </row>
    <row r="5896" spans="3:12">
      <c r="C5896">
        <v>2100300025</v>
      </c>
      <c r="D5896">
        <v>6411210</v>
      </c>
      <c r="E5896" t="s">
        <v>792</v>
      </c>
      <c r="F5896">
        <v>5101010116</v>
      </c>
      <c r="G5896" s="13">
        <v>7060</v>
      </c>
      <c r="H5896" t="s">
        <v>793</v>
      </c>
      <c r="I5896" t="s">
        <v>147</v>
      </c>
      <c r="J5896" t="s">
        <v>923</v>
      </c>
      <c r="K5896" t="s">
        <v>214</v>
      </c>
      <c r="L5896">
        <v>3600021846</v>
      </c>
    </row>
    <row r="5897" spans="3:12">
      <c r="C5897">
        <v>2100300025</v>
      </c>
      <c r="D5897">
        <v>6411210</v>
      </c>
      <c r="E5897" t="s">
        <v>792</v>
      </c>
      <c r="F5897">
        <v>5101010116</v>
      </c>
      <c r="G5897" s="13">
        <v>7060</v>
      </c>
      <c r="H5897" t="s">
        <v>793</v>
      </c>
      <c r="I5897" t="s">
        <v>147</v>
      </c>
      <c r="J5897" t="s">
        <v>931</v>
      </c>
      <c r="K5897" t="s">
        <v>214</v>
      </c>
      <c r="L5897">
        <v>3600025631</v>
      </c>
    </row>
    <row r="5898" spans="3:12">
      <c r="C5898">
        <v>2100300025</v>
      </c>
      <c r="D5898">
        <v>6411210</v>
      </c>
      <c r="E5898" t="s">
        <v>792</v>
      </c>
      <c r="F5898">
        <v>5101010116</v>
      </c>
      <c r="G5898" s="13">
        <v>7060</v>
      </c>
      <c r="H5898" t="s">
        <v>793</v>
      </c>
      <c r="I5898" t="s">
        <v>147</v>
      </c>
      <c r="J5898" t="s">
        <v>561</v>
      </c>
      <c r="K5898" t="s">
        <v>214</v>
      </c>
      <c r="L5898">
        <v>3600027607</v>
      </c>
    </row>
    <row r="5899" spans="3:12">
      <c r="C5899">
        <v>2100300025</v>
      </c>
      <c r="D5899">
        <v>6411220</v>
      </c>
      <c r="E5899" t="s">
        <v>792</v>
      </c>
      <c r="F5899">
        <v>5101020106</v>
      </c>
      <c r="G5899" s="13">
        <v>5478</v>
      </c>
      <c r="H5899" t="s">
        <v>793</v>
      </c>
      <c r="I5899" t="s">
        <v>147</v>
      </c>
      <c r="J5899" t="s">
        <v>901</v>
      </c>
      <c r="K5899" t="s">
        <v>148</v>
      </c>
      <c r="L5899">
        <v>3600012234</v>
      </c>
    </row>
    <row r="5900" spans="3:12">
      <c r="C5900">
        <v>2100300025</v>
      </c>
      <c r="D5900">
        <v>6411220</v>
      </c>
      <c r="E5900" t="s">
        <v>792</v>
      </c>
      <c r="F5900">
        <v>5101020106</v>
      </c>
      <c r="G5900" s="13">
        <v>8218</v>
      </c>
      <c r="H5900" t="s">
        <v>793</v>
      </c>
      <c r="I5900" t="s">
        <v>147</v>
      </c>
      <c r="J5900" t="s">
        <v>555</v>
      </c>
      <c r="K5900" t="s">
        <v>148</v>
      </c>
      <c r="L5900">
        <v>3600015341</v>
      </c>
    </row>
    <row r="5901" spans="3:12">
      <c r="C5901">
        <v>2100300025</v>
      </c>
      <c r="D5901">
        <v>6411220</v>
      </c>
      <c r="E5901" t="s">
        <v>792</v>
      </c>
      <c r="F5901">
        <v>5101020106</v>
      </c>
      <c r="G5901" s="13">
        <v>8218</v>
      </c>
      <c r="H5901" t="s">
        <v>793</v>
      </c>
      <c r="I5901" t="s">
        <v>147</v>
      </c>
      <c r="J5901" t="s">
        <v>825</v>
      </c>
      <c r="K5901" t="s">
        <v>148</v>
      </c>
      <c r="L5901">
        <v>3600019014</v>
      </c>
    </row>
    <row r="5902" spans="3:12">
      <c r="C5902">
        <v>2100300025</v>
      </c>
      <c r="D5902">
        <v>6411220</v>
      </c>
      <c r="E5902" t="s">
        <v>792</v>
      </c>
      <c r="F5902">
        <v>5101020106</v>
      </c>
      <c r="G5902" s="13">
        <v>8218</v>
      </c>
      <c r="H5902" t="s">
        <v>793</v>
      </c>
      <c r="I5902" t="s">
        <v>147</v>
      </c>
      <c r="J5902" t="s">
        <v>923</v>
      </c>
      <c r="K5902" t="s">
        <v>148</v>
      </c>
      <c r="L5902">
        <v>3600021845</v>
      </c>
    </row>
    <row r="5903" spans="3:12">
      <c r="C5903">
        <v>2100300025</v>
      </c>
      <c r="D5903">
        <v>6411220</v>
      </c>
      <c r="E5903" t="s">
        <v>792</v>
      </c>
      <c r="F5903">
        <v>5101020106</v>
      </c>
      <c r="G5903" s="13">
        <v>7409</v>
      </c>
      <c r="H5903" t="s">
        <v>793</v>
      </c>
      <c r="I5903" t="s">
        <v>147</v>
      </c>
      <c r="J5903" t="s">
        <v>863</v>
      </c>
      <c r="K5903" t="s">
        <v>148</v>
      </c>
      <c r="L5903">
        <v>3600041631</v>
      </c>
    </row>
    <row r="5904" spans="3:12">
      <c r="C5904">
        <v>2100300025</v>
      </c>
      <c r="D5904">
        <v>6411210</v>
      </c>
      <c r="E5904" t="s">
        <v>517</v>
      </c>
      <c r="F5904">
        <v>5101020114</v>
      </c>
      <c r="G5904" s="13">
        <v>386000</v>
      </c>
      <c r="H5904" t="s">
        <v>518</v>
      </c>
      <c r="I5904" t="s">
        <v>147</v>
      </c>
      <c r="J5904" t="s">
        <v>880</v>
      </c>
      <c r="K5904" t="s">
        <v>513</v>
      </c>
      <c r="L5904">
        <v>3600000216</v>
      </c>
    </row>
    <row r="5905" spans="3:12">
      <c r="C5905">
        <v>2100300025</v>
      </c>
      <c r="D5905">
        <v>6411210</v>
      </c>
      <c r="E5905" t="s">
        <v>792</v>
      </c>
      <c r="F5905">
        <v>5101020114</v>
      </c>
      <c r="G5905" s="13">
        <v>386000</v>
      </c>
      <c r="H5905" t="s">
        <v>793</v>
      </c>
      <c r="I5905" t="s">
        <v>147</v>
      </c>
      <c r="J5905" t="s">
        <v>890</v>
      </c>
      <c r="K5905" t="s">
        <v>513</v>
      </c>
      <c r="L5905">
        <v>3600007029</v>
      </c>
    </row>
    <row r="5906" spans="3:12">
      <c r="C5906">
        <v>2100300025</v>
      </c>
      <c r="D5906">
        <v>6411210</v>
      </c>
      <c r="E5906" t="s">
        <v>792</v>
      </c>
      <c r="F5906">
        <v>5101020114</v>
      </c>
      <c r="G5906" s="13">
        <v>387450</v>
      </c>
      <c r="H5906" t="s">
        <v>793</v>
      </c>
      <c r="I5906" t="s">
        <v>147</v>
      </c>
      <c r="J5906" t="s">
        <v>900</v>
      </c>
      <c r="K5906" t="s">
        <v>513</v>
      </c>
      <c r="L5906">
        <v>3600009389</v>
      </c>
    </row>
    <row r="5907" spans="3:12">
      <c r="C5907">
        <v>2100300025</v>
      </c>
      <c r="D5907">
        <v>6411150</v>
      </c>
      <c r="E5907" t="s">
        <v>792</v>
      </c>
      <c r="F5907">
        <v>5101010115</v>
      </c>
      <c r="G5907" s="13">
        <v>382160</v>
      </c>
      <c r="H5907" t="s">
        <v>793</v>
      </c>
      <c r="I5907" t="s">
        <v>147</v>
      </c>
      <c r="J5907" t="s">
        <v>555</v>
      </c>
      <c r="K5907" t="s">
        <v>145</v>
      </c>
      <c r="L5907">
        <v>3600009258</v>
      </c>
    </row>
    <row r="5908" spans="3:12">
      <c r="C5908">
        <v>2100300025</v>
      </c>
      <c r="D5908">
        <v>6411210</v>
      </c>
      <c r="E5908" t="s">
        <v>792</v>
      </c>
      <c r="F5908">
        <v>5101020114</v>
      </c>
      <c r="G5908" s="13">
        <v>401354.84</v>
      </c>
      <c r="H5908" t="s">
        <v>793</v>
      </c>
      <c r="I5908" t="s">
        <v>147</v>
      </c>
      <c r="J5908" t="s">
        <v>981</v>
      </c>
      <c r="K5908" t="s">
        <v>513</v>
      </c>
      <c r="L5908">
        <v>3600009708</v>
      </c>
    </row>
    <row r="5909" spans="3:12">
      <c r="C5909">
        <v>2100300025</v>
      </c>
      <c r="D5909">
        <v>6411220</v>
      </c>
      <c r="E5909" t="s">
        <v>736</v>
      </c>
      <c r="F5909">
        <v>5102010199</v>
      </c>
      <c r="G5909" s="13">
        <v>3800</v>
      </c>
      <c r="H5909" t="s">
        <v>1033</v>
      </c>
      <c r="I5909" t="s">
        <v>147</v>
      </c>
      <c r="J5909" t="s">
        <v>825</v>
      </c>
      <c r="K5909" t="s">
        <v>151</v>
      </c>
      <c r="L5909">
        <v>3600019610</v>
      </c>
    </row>
    <row r="5910" spans="3:12">
      <c r="C5910">
        <v>2100300025</v>
      </c>
      <c r="D5910">
        <v>6411220</v>
      </c>
      <c r="E5910" t="s">
        <v>736</v>
      </c>
      <c r="F5910">
        <v>5102010199</v>
      </c>
      <c r="G5910" s="13">
        <v>1575</v>
      </c>
      <c r="H5910" t="s">
        <v>1033</v>
      </c>
      <c r="I5910" t="s">
        <v>147</v>
      </c>
      <c r="J5910" t="s">
        <v>841</v>
      </c>
      <c r="K5910" t="s">
        <v>151</v>
      </c>
      <c r="L5910">
        <v>3600028329</v>
      </c>
    </row>
    <row r="5911" spans="3:12">
      <c r="C5911">
        <v>2100300025</v>
      </c>
      <c r="D5911">
        <v>6411210</v>
      </c>
      <c r="E5911" t="s">
        <v>792</v>
      </c>
      <c r="F5911">
        <v>5101020114</v>
      </c>
      <c r="G5911" s="13">
        <v>384483.87</v>
      </c>
      <c r="H5911" t="s">
        <v>793</v>
      </c>
      <c r="I5911" t="s">
        <v>147</v>
      </c>
      <c r="J5911" t="s">
        <v>822</v>
      </c>
      <c r="K5911" t="s">
        <v>513</v>
      </c>
      <c r="L5911">
        <v>3600014925</v>
      </c>
    </row>
    <row r="5912" spans="3:12">
      <c r="C5912">
        <v>2100300025</v>
      </c>
      <c r="D5912">
        <v>6411150</v>
      </c>
      <c r="E5912" t="s">
        <v>792</v>
      </c>
      <c r="F5912">
        <v>5101010115</v>
      </c>
      <c r="G5912" s="13">
        <v>382160</v>
      </c>
      <c r="H5912" t="s">
        <v>793</v>
      </c>
      <c r="I5912" t="s">
        <v>147</v>
      </c>
      <c r="J5912" t="s">
        <v>879</v>
      </c>
      <c r="K5912" t="s">
        <v>145</v>
      </c>
      <c r="L5912">
        <v>3600000934</v>
      </c>
    </row>
    <row r="5913" spans="3:12">
      <c r="C5913">
        <v>2100300025</v>
      </c>
      <c r="D5913">
        <v>6411150</v>
      </c>
      <c r="E5913" t="s">
        <v>792</v>
      </c>
      <c r="F5913">
        <v>5101010115</v>
      </c>
      <c r="G5913" s="13">
        <v>382160</v>
      </c>
      <c r="H5913" t="s">
        <v>793</v>
      </c>
      <c r="I5913" t="s">
        <v>147</v>
      </c>
      <c r="J5913" t="s">
        <v>923</v>
      </c>
      <c r="K5913" t="s">
        <v>145</v>
      </c>
      <c r="L5913">
        <v>3600022219</v>
      </c>
    </row>
    <row r="5914" spans="3:12">
      <c r="C5914">
        <v>2100300025</v>
      </c>
      <c r="D5914">
        <v>6411150</v>
      </c>
      <c r="E5914" t="s">
        <v>792</v>
      </c>
      <c r="F5914">
        <v>5101010115</v>
      </c>
      <c r="G5914" s="13">
        <v>382160</v>
      </c>
      <c r="H5914" t="s">
        <v>793</v>
      </c>
      <c r="I5914" t="s">
        <v>147</v>
      </c>
      <c r="J5914" t="s">
        <v>561</v>
      </c>
      <c r="K5914" t="s">
        <v>145</v>
      </c>
      <c r="L5914">
        <v>3600026840</v>
      </c>
    </row>
    <row r="5915" spans="3:12">
      <c r="C5915">
        <v>2100300025</v>
      </c>
      <c r="D5915">
        <v>6411150</v>
      </c>
      <c r="E5915" t="s">
        <v>792</v>
      </c>
      <c r="F5915">
        <v>5101010115</v>
      </c>
      <c r="G5915" s="13">
        <v>382160</v>
      </c>
      <c r="H5915" t="s">
        <v>793</v>
      </c>
      <c r="I5915" t="s">
        <v>147</v>
      </c>
      <c r="J5915" t="s">
        <v>952</v>
      </c>
      <c r="K5915" t="s">
        <v>145</v>
      </c>
      <c r="L5915">
        <v>3600030313</v>
      </c>
    </row>
    <row r="5916" spans="3:12">
      <c r="C5916">
        <v>2100300025</v>
      </c>
      <c r="D5916">
        <v>6411150</v>
      </c>
      <c r="E5916" t="s">
        <v>792</v>
      </c>
      <c r="F5916">
        <v>5101010115</v>
      </c>
      <c r="G5916" s="13">
        <v>382160</v>
      </c>
      <c r="H5916" t="s">
        <v>793</v>
      </c>
      <c r="I5916" t="s">
        <v>147</v>
      </c>
      <c r="J5916" t="s">
        <v>964</v>
      </c>
      <c r="K5916" t="s">
        <v>145</v>
      </c>
      <c r="L5916">
        <v>3600032724</v>
      </c>
    </row>
    <row r="5917" spans="3:12">
      <c r="C5917">
        <v>2100300025</v>
      </c>
      <c r="D5917">
        <v>6411150</v>
      </c>
      <c r="E5917" t="s">
        <v>792</v>
      </c>
      <c r="F5917">
        <v>5101010115</v>
      </c>
      <c r="G5917" s="13">
        <v>382160</v>
      </c>
      <c r="H5917" t="s">
        <v>793</v>
      </c>
      <c r="I5917" t="s">
        <v>147</v>
      </c>
      <c r="J5917" t="s">
        <v>975</v>
      </c>
      <c r="K5917" t="s">
        <v>145</v>
      </c>
      <c r="L5917">
        <v>3600035203</v>
      </c>
    </row>
    <row r="5918" spans="3:12">
      <c r="C5918">
        <v>2100300025</v>
      </c>
      <c r="D5918">
        <v>6411150</v>
      </c>
      <c r="E5918" t="s">
        <v>792</v>
      </c>
      <c r="F5918">
        <v>5101010115</v>
      </c>
      <c r="G5918" s="13">
        <v>16010.32</v>
      </c>
      <c r="H5918" t="s">
        <v>793</v>
      </c>
      <c r="I5918" t="s">
        <v>147</v>
      </c>
      <c r="J5918" t="s">
        <v>978</v>
      </c>
      <c r="K5918" t="s">
        <v>145</v>
      </c>
      <c r="L5918">
        <v>3600041944</v>
      </c>
    </row>
    <row r="5919" spans="3:12">
      <c r="C5919">
        <v>2100300025</v>
      </c>
      <c r="D5919">
        <v>6411210</v>
      </c>
      <c r="E5919" t="s">
        <v>792</v>
      </c>
      <c r="F5919">
        <v>5101010116</v>
      </c>
      <c r="G5919" s="13">
        <v>7930</v>
      </c>
      <c r="H5919" t="s">
        <v>793</v>
      </c>
      <c r="I5919" t="s">
        <v>147</v>
      </c>
      <c r="J5919" t="s">
        <v>879</v>
      </c>
      <c r="K5919" t="s">
        <v>214</v>
      </c>
      <c r="L5919">
        <v>3600000771</v>
      </c>
    </row>
    <row r="5920" spans="3:12">
      <c r="C5920">
        <v>2100300025</v>
      </c>
      <c r="D5920">
        <v>6411210</v>
      </c>
      <c r="E5920" t="s">
        <v>792</v>
      </c>
      <c r="F5920">
        <v>5101010116</v>
      </c>
      <c r="G5920" s="13">
        <v>7060</v>
      </c>
      <c r="H5920" t="s">
        <v>793</v>
      </c>
      <c r="I5920" t="s">
        <v>147</v>
      </c>
      <c r="J5920" t="s">
        <v>555</v>
      </c>
      <c r="K5920" t="s">
        <v>214</v>
      </c>
      <c r="L5920">
        <v>3600009259</v>
      </c>
    </row>
    <row r="5921" spans="3:12">
      <c r="C5921">
        <v>2100300025</v>
      </c>
      <c r="D5921">
        <v>6411220</v>
      </c>
      <c r="E5921" t="s">
        <v>792</v>
      </c>
      <c r="F5921">
        <v>5101020106</v>
      </c>
      <c r="G5921" s="13">
        <v>8218</v>
      </c>
      <c r="H5921" t="s">
        <v>793</v>
      </c>
      <c r="I5921" t="s">
        <v>147</v>
      </c>
      <c r="J5921" t="s">
        <v>555</v>
      </c>
      <c r="K5921" t="s">
        <v>148</v>
      </c>
      <c r="L5921">
        <v>3600015555</v>
      </c>
    </row>
    <row r="5922" spans="3:12">
      <c r="C5922">
        <v>2100300025</v>
      </c>
      <c r="D5922">
        <v>6411210</v>
      </c>
      <c r="E5922" t="s">
        <v>792</v>
      </c>
      <c r="F5922">
        <v>5101010116</v>
      </c>
      <c r="G5922" s="13">
        <v>7060</v>
      </c>
      <c r="H5922" t="s">
        <v>793</v>
      </c>
      <c r="I5922" t="s">
        <v>147</v>
      </c>
      <c r="J5922" t="s">
        <v>825</v>
      </c>
      <c r="K5922" t="s">
        <v>214</v>
      </c>
      <c r="L5922">
        <v>3600018398</v>
      </c>
    </row>
    <row r="5923" spans="3:12">
      <c r="C5923">
        <v>2100300025</v>
      </c>
      <c r="D5923">
        <v>6411210</v>
      </c>
      <c r="E5923" t="s">
        <v>792</v>
      </c>
      <c r="F5923">
        <v>5101010116</v>
      </c>
      <c r="G5923" s="13">
        <v>7060</v>
      </c>
      <c r="H5923" t="s">
        <v>793</v>
      </c>
      <c r="I5923" t="s">
        <v>147</v>
      </c>
      <c r="J5923" t="s">
        <v>952</v>
      </c>
      <c r="K5923" t="s">
        <v>214</v>
      </c>
      <c r="L5923">
        <v>3600030314</v>
      </c>
    </row>
    <row r="5924" spans="3:12">
      <c r="C5924">
        <v>2100300025</v>
      </c>
      <c r="D5924">
        <v>6411210</v>
      </c>
      <c r="E5924" t="s">
        <v>792</v>
      </c>
      <c r="F5924">
        <v>5101010116</v>
      </c>
      <c r="G5924" s="13">
        <v>7060</v>
      </c>
      <c r="H5924" t="s">
        <v>793</v>
      </c>
      <c r="I5924" t="s">
        <v>147</v>
      </c>
      <c r="J5924" t="s">
        <v>964</v>
      </c>
      <c r="K5924" t="s">
        <v>214</v>
      </c>
      <c r="L5924">
        <v>3600032809</v>
      </c>
    </row>
    <row r="5925" spans="3:12">
      <c r="C5925">
        <v>2100300025</v>
      </c>
      <c r="D5925">
        <v>6411210</v>
      </c>
      <c r="E5925" t="s">
        <v>792</v>
      </c>
      <c r="F5925">
        <v>5101010116</v>
      </c>
      <c r="G5925" s="13">
        <v>7060</v>
      </c>
      <c r="H5925" t="s">
        <v>793</v>
      </c>
      <c r="I5925" t="s">
        <v>147</v>
      </c>
      <c r="J5925" t="s">
        <v>975</v>
      </c>
      <c r="K5925" t="s">
        <v>214</v>
      </c>
      <c r="L5925">
        <v>3600035204</v>
      </c>
    </row>
    <row r="5926" spans="3:12">
      <c r="C5926">
        <v>2100300025</v>
      </c>
      <c r="D5926">
        <v>6411210</v>
      </c>
      <c r="E5926" t="s">
        <v>792</v>
      </c>
      <c r="F5926">
        <v>5101010116</v>
      </c>
      <c r="G5926" s="13">
        <v>7060</v>
      </c>
      <c r="H5926" t="s">
        <v>793</v>
      </c>
      <c r="I5926" t="s">
        <v>147</v>
      </c>
      <c r="J5926" t="s">
        <v>863</v>
      </c>
      <c r="K5926" t="s">
        <v>214</v>
      </c>
      <c r="L5926">
        <v>3600041760</v>
      </c>
    </row>
    <row r="5927" spans="3:12">
      <c r="C5927">
        <v>2100300025</v>
      </c>
      <c r="D5927">
        <v>6411220</v>
      </c>
      <c r="E5927" t="s">
        <v>792</v>
      </c>
      <c r="F5927">
        <v>5101020106</v>
      </c>
      <c r="G5927" s="13">
        <v>5496</v>
      </c>
      <c r="H5927" t="s">
        <v>793</v>
      </c>
      <c r="I5927" t="s">
        <v>147</v>
      </c>
      <c r="J5927" t="s">
        <v>879</v>
      </c>
      <c r="K5927" t="s">
        <v>148</v>
      </c>
      <c r="L5927">
        <v>3600000935</v>
      </c>
    </row>
    <row r="5928" spans="3:12">
      <c r="C5928">
        <v>2100300025</v>
      </c>
      <c r="D5928">
        <v>6411220</v>
      </c>
      <c r="E5928" t="s">
        <v>792</v>
      </c>
      <c r="F5928">
        <v>5101020106</v>
      </c>
      <c r="G5928" s="13">
        <v>13692</v>
      </c>
      <c r="H5928" t="s">
        <v>793</v>
      </c>
      <c r="I5928" t="s">
        <v>147</v>
      </c>
      <c r="J5928" t="s">
        <v>931</v>
      </c>
      <c r="K5928" t="s">
        <v>148</v>
      </c>
      <c r="L5928">
        <v>3600025512</v>
      </c>
    </row>
    <row r="5929" spans="3:12">
      <c r="C5929">
        <v>2100300025</v>
      </c>
      <c r="D5929">
        <v>6411220</v>
      </c>
      <c r="E5929" t="s">
        <v>792</v>
      </c>
      <c r="F5929">
        <v>5101020106</v>
      </c>
      <c r="G5929" s="13">
        <v>13690</v>
      </c>
      <c r="H5929" t="s">
        <v>793</v>
      </c>
      <c r="I5929" t="s">
        <v>147</v>
      </c>
      <c r="J5929" t="s">
        <v>952</v>
      </c>
      <c r="K5929" t="s">
        <v>148</v>
      </c>
      <c r="L5929">
        <v>3600030315</v>
      </c>
    </row>
    <row r="5930" spans="3:12">
      <c r="C5930">
        <v>2100300025</v>
      </c>
      <c r="D5930">
        <v>6411220</v>
      </c>
      <c r="E5930" t="s">
        <v>792</v>
      </c>
      <c r="F5930">
        <v>5101020106</v>
      </c>
      <c r="G5930" s="13">
        <v>6845</v>
      </c>
      <c r="H5930" t="s">
        <v>793</v>
      </c>
      <c r="I5930" t="s">
        <v>147</v>
      </c>
      <c r="J5930" t="s">
        <v>964</v>
      </c>
      <c r="K5930" t="s">
        <v>148</v>
      </c>
      <c r="L5930">
        <v>3600032810</v>
      </c>
    </row>
    <row r="5931" spans="3:12">
      <c r="C5931">
        <v>2100300025</v>
      </c>
      <c r="D5931">
        <v>6411220</v>
      </c>
      <c r="E5931" t="s">
        <v>792</v>
      </c>
      <c r="F5931">
        <v>5101020106</v>
      </c>
      <c r="G5931" s="13">
        <v>6845</v>
      </c>
      <c r="H5931" t="s">
        <v>793</v>
      </c>
      <c r="I5931" t="s">
        <v>147</v>
      </c>
      <c r="J5931" t="s">
        <v>975</v>
      </c>
      <c r="K5931" t="s">
        <v>148</v>
      </c>
      <c r="L5931">
        <v>3600035205</v>
      </c>
    </row>
    <row r="5932" spans="3:12">
      <c r="C5932">
        <v>2100300025</v>
      </c>
      <c r="D5932">
        <v>6411210</v>
      </c>
      <c r="E5932" t="s">
        <v>792</v>
      </c>
      <c r="F5932">
        <v>5101020114</v>
      </c>
      <c r="G5932" s="13">
        <v>381050</v>
      </c>
      <c r="H5932" t="s">
        <v>793</v>
      </c>
      <c r="I5932" t="s">
        <v>147</v>
      </c>
      <c r="J5932" t="s">
        <v>947</v>
      </c>
      <c r="K5932" t="s">
        <v>513</v>
      </c>
      <c r="L5932">
        <v>3600029622</v>
      </c>
    </row>
    <row r="5933" spans="3:12">
      <c r="C5933">
        <v>2100300025</v>
      </c>
      <c r="D5933">
        <v>6411210</v>
      </c>
      <c r="E5933" t="s">
        <v>792</v>
      </c>
      <c r="F5933">
        <v>5101020114</v>
      </c>
      <c r="G5933" s="13">
        <v>382806.45</v>
      </c>
      <c r="H5933" t="s">
        <v>793</v>
      </c>
      <c r="I5933" t="s">
        <v>147</v>
      </c>
      <c r="J5933" t="s">
        <v>967</v>
      </c>
      <c r="K5933" t="s">
        <v>513</v>
      </c>
      <c r="L5933">
        <v>3600034666</v>
      </c>
    </row>
    <row r="5934" spans="3:12">
      <c r="C5934">
        <v>2100300025</v>
      </c>
      <c r="D5934">
        <v>6411220</v>
      </c>
      <c r="E5934" t="s">
        <v>792</v>
      </c>
      <c r="F5934">
        <v>5101020199</v>
      </c>
      <c r="G5934" s="13">
        <v>7900</v>
      </c>
      <c r="H5934" t="s">
        <v>793</v>
      </c>
      <c r="I5934" t="s">
        <v>147</v>
      </c>
      <c r="J5934" t="s">
        <v>912</v>
      </c>
      <c r="K5934" t="s">
        <v>486</v>
      </c>
      <c r="L5934">
        <v>3600017013</v>
      </c>
    </row>
    <row r="5935" spans="3:12">
      <c r="C5935">
        <v>2100300025</v>
      </c>
      <c r="D5935">
        <v>6411220</v>
      </c>
      <c r="E5935" t="s">
        <v>736</v>
      </c>
      <c r="F5935">
        <v>5102010199</v>
      </c>
      <c r="G5935" s="13">
        <v>7205</v>
      </c>
      <c r="H5935" t="s">
        <v>1033</v>
      </c>
      <c r="I5935" t="s">
        <v>147</v>
      </c>
      <c r="J5935" t="s">
        <v>898</v>
      </c>
      <c r="K5935" t="s">
        <v>151</v>
      </c>
      <c r="L5935">
        <v>3600012050</v>
      </c>
    </row>
    <row r="5936" spans="3:12">
      <c r="C5936">
        <v>2100300025</v>
      </c>
      <c r="D5936">
        <v>6411220</v>
      </c>
      <c r="E5936" t="s">
        <v>736</v>
      </c>
      <c r="F5936">
        <v>5102010199</v>
      </c>
      <c r="G5936" s="13">
        <v>8080</v>
      </c>
      <c r="H5936" t="s">
        <v>1033</v>
      </c>
      <c r="I5936" t="s">
        <v>147</v>
      </c>
      <c r="J5936" t="s">
        <v>903</v>
      </c>
      <c r="K5936" t="s">
        <v>151</v>
      </c>
      <c r="L5936">
        <v>3600014546</v>
      </c>
    </row>
    <row r="5937" spans="3:12">
      <c r="C5937">
        <v>2100300025</v>
      </c>
      <c r="D5937">
        <v>6411220</v>
      </c>
      <c r="E5937" t="s">
        <v>736</v>
      </c>
      <c r="F5937">
        <v>5102010199</v>
      </c>
      <c r="G5937" s="13">
        <v>1550</v>
      </c>
      <c r="H5937" t="s">
        <v>1033</v>
      </c>
      <c r="I5937" t="s">
        <v>147</v>
      </c>
      <c r="J5937" t="s">
        <v>929</v>
      </c>
      <c r="K5937" t="s">
        <v>151</v>
      </c>
      <c r="L5937">
        <v>3600021856</v>
      </c>
    </row>
    <row r="5938" spans="3:12">
      <c r="C5938">
        <v>2100300025</v>
      </c>
      <c r="D5938">
        <v>6411220</v>
      </c>
      <c r="E5938" t="s">
        <v>736</v>
      </c>
      <c r="F5938">
        <v>5103010102</v>
      </c>
      <c r="G5938" s="13">
        <v>2480</v>
      </c>
      <c r="H5938" t="s">
        <v>1033</v>
      </c>
      <c r="I5938" t="s">
        <v>147</v>
      </c>
      <c r="J5938" t="s">
        <v>903</v>
      </c>
      <c r="K5938" t="s">
        <v>63</v>
      </c>
      <c r="L5938">
        <v>3600014373</v>
      </c>
    </row>
    <row r="5939" spans="3:12">
      <c r="C5939">
        <v>2100300025</v>
      </c>
      <c r="D5939">
        <v>6411220</v>
      </c>
      <c r="E5939" t="s">
        <v>736</v>
      </c>
      <c r="F5939">
        <v>5103010103</v>
      </c>
      <c r="G5939" s="13">
        <v>4800</v>
      </c>
      <c r="H5939" t="s">
        <v>1033</v>
      </c>
      <c r="I5939" t="s">
        <v>147</v>
      </c>
      <c r="J5939" t="s">
        <v>903</v>
      </c>
      <c r="K5939" t="s">
        <v>65</v>
      </c>
      <c r="L5939">
        <v>3600014373</v>
      </c>
    </row>
    <row r="5940" spans="3:12">
      <c r="C5940">
        <v>2100300025</v>
      </c>
      <c r="D5940">
        <v>6411220</v>
      </c>
      <c r="E5940" t="s">
        <v>736</v>
      </c>
      <c r="F5940">
        <v>5103010199</v>
      </c>
      <c r="G5940" s="13">
        <v>1180</v>
      </c>
      <c r="H5940" t="s">
        <v>1033</v>
      </c>
      <c r="I5940" t="s">
        <v>147</v>
      </c>
      <c r="J5940" t="s">
        <v>903</v>
      </c>
      <c r="K5940" t="s">
        <v>152</v>
      </c>
      <c r="L5940">
        <v>3600014373</v>
      </c>
    </row>
    <row r="5941" spans="3:12">
      <c r="C5941">
        <v>2100300025</v>
      </c>
      <c r="D5941">
        <v>6411220</v>
      </c>
      <c r="E5941" t="s">
        <v>736</v>
      </c>
      <c r="F5941">
        <v>5103010102</v>
      </c>
      <c r="G5941">
        <v>750</v>
      </c>
      <c r="H5941" t="s">
        <v>1033</v>
      </c>
      <c r="I5941" t="s">
        <v>147</v>
      </c>
      <c r="J5941" t="s">
        <v>908</v>
      </c>
      <c r="K5941" t="s">
        <v>63</v>
      </c>
      <c r="L5941">
        <v>3600016754</v>
      </c>
    </row>
    <row r="5942" spans="3:12">
      <c r="C5942">
        <v>2100300025</v>
      </c>
      <c r="D5942">
        <v>6411220</v>
      </c>
      <c r="E5942" t="s">
        <v>736</v>
      </c>
      <c r="F5942">
        <v>5103010103</v>
      </c>
      <c r="G5942" s="13">
        <v>3600</v>
      </c>
      <c r="H5942" t="s">
        <v>1033</v>
      </c>
      <c r="I5942" t="s">
        <v>147</v>
      </c>
      <c r="J5942" t="s">
        <v>908</v>
      </c>
      <c r="K5942" t="s">
        <v>65</v>
      </c>
      <c r="L5942">
        <v>3600016754</v>
      </c>
    </row>
    <row r="5943" spans="3:12">
      <c r="C5943">
        <v>2100300025</v>
      </c>
      <c r="D5943">
        <v>6411220</v>
      </c>
      <c r="E5943" t="s">
        <v>736</v>
      </c>
      <c r="F5943">
        <v>5103010102</v>
      </c>
      <c r="G5943">
        <v>510</v>
      </c>
      <c r="H5943" t="s">
        <v>1033</v>
      </c>
      <c r="I5943" t="s">
        <v>147</v>
      </c>
      <c r="J5943" t="s">
        <v>918</v>
      </c>
      <c r="K5943" t="s">
        <v>63</v>
      </c>
      <c r="L5943">
        <v>3600019028</v>
      </c>
    </row>
    <row r="5944" spans="3:12">
      <c r="C5944">
        <v>2100300025</v>
      </c>
      <c r="D5944">
        <v>6411220</v>
      </c>
      <c r="E5944" t="s">
        <v>736</v>
      </c>
      <c r="F5944">
        <v>5103010102</v>
      </c>
      <c r="G5944">
        <v>400</v>
      </c>
      <c r="H5944" t="s">
        <v>1033</v>
      </c>
      <c r="I5944" t="s">
        <v>147</v>
      </c>
      <c r="J5944" t="s">
        <v>824</v>
      </c>
      <c r="K5944" t="s">
        <v>63</v>
      </c>
      <c r="L5944">
        <v>3600019717</v>
      </c>
    </row>
    <row r="5945" spans="3:12">
      <c r="C5945">
        <v>2100300025</v>
      </c>
      <c r="D5945">
        <v>6411220</v>
      </c>
      <c r="E5945" t="s">
        <v>736</v>
      </c>
      <c r="F5945">
        <v>5103010199</v>
      </c>
      <c r="G5945">
        <v>800</v>
      </c>
      <c r="H5945" t="s">
        <v>1033</v>
      </c>
      <c r="I5945" t="s">
        <v>147</v>
      </c>
      <c r="J5945" t="s">
        <v>824</v>
      </c>
      <c r="K5945" t="s">
        <v>152</v>
      </c>
      <c r="L5945">
        <v>3600019717</v>
      </c>
    </row>
    <row r="5946" spans="3:12">
      <c r="C5946">
        <v>2100300025</v>
      </c>
      <c r="D5946">
        <v>6411220</v>
      </c>
      <c r="E5946" t="s">
        <v>736</v>
      </c>
      <c r="F5946">
        <v>5103010102</v>
      </c>
      <c r="G5946">
        <v>400</v>
      </c>
      <c r="H5946" t="s">
        <v>1033</v>
      </c>
      <c r="I5946" t="s">
        <v>147</v>
      </c>
      <c r="J5946" t="s">
        <v>925</v>
      </c>
      <c r="K5946" t="s">
        <v>63</v>
      </c>
      <c r="L5946">
        <v>3600021742</v>
      </c>
    </row>
    <row r="5947" spans="3:12">
      <c r="C5947">
        <v>2100300025</v>
      </c>
      <c r="D5947">
        <v>6411220</v>
      </c>
      <c r="E5947" t="s">
        <v>736</v>
      </c>
      <c r="F5947">
        <v>5103010103</v>
      </c>
      <c r="G5947" s="13">
        <v>1000</v>
      </c>
      <c r="H5947" t="s">
        <v>1033</v>
      </c>
      <c r="I5947" t="s">
        <v>147</v>
      </c>
      <c r="J5947" t="s">
        <v>925</v>
      </c>
      <c r="K5947" t="s">
        <v>65</v>
      </c>
      <c r="L5947">
        <v>3600021742</v>
      </c>
    </row>
    <row r="5948" spans="3:12">
      <c r="C5948">
        <v>2100300025</v>
      </c>
      <c r="D5948">
        <v>6411220</v>
      </c>
      <c r="E5948" t="s">
        <v>736</v>
      </c>
      <c r="F5948">
        <v>5103010199</v>
      </c>
      <c r="G5948" s="13">
        <v>2110</v>
      </c>
      <c r="H5948" t="s">
        <v>1033</v>
      </c>
      <c r="I5948" t="s">
        <v>147</v>
      </c>
      <c r="J5948" t="s">
        <v>925</v>
      </c>
      <c r="K5948" t="s">
        <v>152</v>
      </c>
      <c r="L5948">
        <v>3600021742</v>
      </c>
    </row>
    <row r="5949" spans="3:12">
      <c r="C5949">
        <v>2100300025</v>
      </c>
      <c r="D5949">
        <v>6411240</v>
      </c>
      <c r="E5949" t="s">
        <v>736</v>
      </c>
      <c r="F5949">
        <v>5104020105</v>
      </c>
      <c r="G5949">
        <v>427</v>
      </c>
      <c r="H5949" t="s">
        <v>1033</v>
      </c>
      <c r="I5949" t="s">
        <v>147</v>
      </c>
      <c r="J5949" t="s">
        <v>837</v>
      </c>
      <c r="K5949" t="s">
        <v>83</v>
      </c>
      <c r="L5949">
        <v>3600023550</v>
      </c>
    </row>
    <row r="5950" spans="3:12">
      <c r="C5950">
        <v>2100300025</v>
      </c>
      <c r="D5950">
        <v>6411210</v>
      </c>
      <c r="E5950" t="s">
        <v>790</v>
      </c>
      <c r="F5950">
        <v>5104040102</v>
      </c>
      <c r="G5950" s="13">
        <v>90240</v>
      </c>
      <c r="H5950" t="s">
        <v>791</v>
      </c>
      <c r="I5950" t="s">
        <v>147</v>
      </c>
      <c r="J5950" t="s">
        <v>887</v>
      </c>
      <c r="K5950" t="s">
        <v>159</v>
      </c>
      <c r="L5950">
        <v>3600005975</v>
      </c>
    </row>
    <row r="5951" spans="3:12">
      <c r="C5951">
        <v>2100300025</v>
      </c>
      <c r="D5951">
        <v>6411210</v>
      </c>
      <c r="E5951" t="s">
        <v>790</v>
      </c>
      <c r="F5951">
        <v>5104040102</v>
      </c>
      <c r="G5951" s="13">
        <v>51260</v>
      </c>
      <c r="H5951" t="s">
        <v>791</v>
      </c>
      <c r="I5951" t="s">
        <v>147</v>
      </c>
      <c r="J5951" t="s">
        <v>900</v>
      </c>
      <c r="K5951" t="s">
        <v>159</v>
      </c>
      <c r="L5951">
        <v>3600009390</v>
      </c>
    </row>
    <row r="5952" spans="3:12">
      <c r="C5952">
        <v>2100300025</v>
      </c>
      <c r="D5952">
        <v>6411210</v>
      </c>
      <c r="E5952" t="s">
        <v>792</v>
      </c>
      <c r="F5952">
        <v>5101020114</v>
      </c>
      <c r="G5952" s="13">
        <v>247066.13</v>
      </c>
      <c r="H5952" t="s">
        <v>793</v>
      </c>
      <c r="I5952" t="s">
        <v>147</v>
      </c>
      <c r="J5952" t="s">
        <v>915</v>
      </c>
      <c r="K5952" t="s">
        <v>513</v>
      </c>
      <c r="L5952">
        <v>3600018613</v>
      </c>
    </row>
    <row r="5953" spans="3:12">
      <c r="C5953">
        <v>2100300025</v>
      </c>
      <c r="D5953">
        <v>6411210</v>
      </c>
      <c r="E5953" t="s">
        <v>792</v>
      </c>
      <c r="F5953">
        <v>5101020114</v>
      </c>
      <c r="G5953" s="13">
        <v>382838.7</v>
      </c>
      <c r="H5953" t="s">
        <v>793</v>
      </c>
      <c r="I5953" t="s">
        <v>147</v>
      </c>
      <c r="J5953" t="s">
        <v>931</v>
      </c>
      <c r="K5953" t="s">
        <v>513</v>
      </c>
      <c r="L5953">
        <v>3600025300</v>
      </c>
    </row>
    <row r="5954" spans="3:12">
      <c r="C5954">
        <v>2100300025</v>
      </c>
      <c r="D5954">
        <v>6411220</v>
      </c>
      <c r="E5954" t="s">
        <v>736</v>
      </c>
      <c r="F5954">
        <v>5103010102</v>
      </c>
      <c r="G5954">
        <v>560</v>
      </c>
      <c r="H5954" t="s">
        <v>1033</v>
      </c>
      <c r="I5954" t="s">
        <v>147</v>
      </c>
      <c r="J5954" t="s">
        <v>931</v>
      </c>
      <c r="K5954" t="s">
        <v>63</v>
      </c>
      <c r="L5954">
        <v>3600025299</v>
      </c>
    </row>
    <row r="5955" spans="3:12">
      <c r="C5955">
        <v>2100300025</v>
      </c>
      <c r="D5955">
        <v>6411220</v>
      </c>
      <c r="E5955" t="s">
        <v>736</v>
      </c>
      <c r="F5955">
        <v>5103010103</v>
      </c>
      <c r="G5955" s="13">
        <v>1500</v>
      </c>
      <c r="H5955" t="s">
        <v>1033</v>
      </c>
      <c r="I5955" t="s">
        <v>147</v>
      </c>
      <c r="J5955" t="s">
        <v>931</v>
      </c>
      <c r="K5955" t="s">
        <v>65</v>
      </c>
      <c r="L5955">
        <v>3600025299</v>
      </c>
    </row>
    <row r="5956" spans="3:12">
      <c r="C5956">
        <v>2100300025</v>
      </c>
      <c r="D5956">
        <v>6411220</v>
      </c>
      <c r="E5956" t="s">
        <v>736</v>
      </c>
      <c r="F5956">
        <v>5103010199</v>
      </c>
      <c r="G5956" s="13">
        <v>7005</v>
      </c>
      <c r="H5956" t="s">
        <v>1033</v>
      </c>
      <c r="I5956" t="s">
        <v>147</v>
      </c>
      <c r="J5956" t="s">
        <v>931</v>
      </c>
      <c r="K5956" t="s">
        <v>152</v>
      </c>
      <c r="L5956">
        <v>3600025299</v>
      </c>
    </row>
    <row r="5957" spans="3:12">
      <c r="C5957">
        <v>2100300025</v>
      </c>
      <c r="D5957">
        <v>6411210</v>
      </c>
      <c r="E5957" t="s">
        <v>792</v>
      </c>
      <c r="F5957">
        <v>5101020114</v>
      </c>
      <c r="G5957" s="13">
        <v>379700</v>
      </c>
      <c r="H5957" t="s">
        <v>793</v>
      </c>
      <c r="I5957" t="s">
        <v>147</v>
      </c>
      <c r="J5957" t="s">
        <v>561</v>
      </c>
      <c r="K5957" t="s">
        <v>513</v>
      </c>
      <c r="L5957">
        <v>3600027608</v>
      </c>
    </row>
    <row r="5958" spans="3:12">
      <c r="C5958">
        <v>2100300025</v>
      </c>
      <c r="D5958">
        <v>6411210</v>
      </c>
      <c r="E5958" t="s">
        <v>792</v>
      </c>
      <c r="F5958">
        <v>5101020114</v>
      </c>
      <c r="G5958" s="13">
        <v>2194.63</v>
      </c>
      <c r="H5958" t="s">
        <v>793</v>
      </c>
      <c r="I5958" t="s">
        <v>147</v>
      </c>
      <c r="J5958" t="s">
        <v>852</v>
      </c>
      <c r="K5958" t="s">
        <v>513</v>
      </c>
      <c r="L5958">
        <v>3600032602</v>
      </c>
    </row>
    <row r="5959" spans="3:12">
      <c r="C5959">
        <v>2100300025</v>
      </c>
      <c r="D5959">
        <v>6411210</v>
      </c>
      <c r="E5959" t="s">
        <v>792</v>
      </c>
      <c r="F5959">
        <v>5101020114</v>
      </c>
      <c r="G5959" s="13">
        <v>381200</v>
      </c>
      <c r="H5959" t="s">
        <v>793</v>
      </c>
      <c r="I5959" t="s">
        <v>147</v>
      </c>
      <c r="J5959" t="s">
        <v>852</v>
      </c>
      <c r="K5959" t="s">
        <v>513</v>
      </c>
      <c r="L5959">
        <v>3600032559</v>
      </c>
    </row>
    <row r="5960" spans="3:12">
      <c r="C5960">
        <v>2100300025</v>
      </c>
      <c r="D5960">
        <v>6411220</v>
      </c>
      <c r="E5960" t="s">
        <v>736</v>
      </c>
      <c r="F5960">
        <v>5102010199</v>
      </c>
      <c r="G5960" s="13">
        <v>3800</v>
      </c>
      <c r="H5960" t="s">
        <v>1033</v>
      </c>
      <c r="I5960" t="s">
        <v>147</v>
      </c>
      <c r="J5960" t="s">
        <v>564</v>
      </c>
      <c r="K5960" t="s">
        <v>151</v>
      </c>
      <c r="L5960">
        <v>3600019865</v>
      </c>
    </row>
    <row r="5961" spans="3:12">
      <c r="C5961">
        <v>2100300025</v>
      </c>
      <c r="D5961">
        <v>6411220</v>
      </c>
      <c r="E5961" t="s">
        <v>736</v>
      </c>
      <c r="F5961">
        <v>5102010199</v>
      </c>
      <c r="G5961" s="13">
        <v>1900</v>
      </c>
      <c r="H5961" t="s">
        <v>1033</v>
      </c>
      <c r="I5961" t="s">
        <v>147</v>
      </c>
      <c r="J5961" t="s">
        <v>932</v>
      </c>
      <c r="K5961" t="s">
        <v>151</v>
      </c>
      <c r="L5961">
        <v>3600023580</v>
      </c>
    </row>
    <row r="5962" spans="3:12">
      <c r="C5962">
        <v>2100300025</v>
      </c>
      <c r="D5962">
        <v>6411220</v>
      </c>
      <c r="E5962" t="s">
        <v>736</v>
      </c>
      <c r="F5962">
        <v>5102010199</v>
      </c>
      <c r="G5962" s="13">
        <v>24970</v>
      </c>
      <c r="H5962" t="s">
        <v>1033</v>
      </c>
      <c r="I5962" t="s">
        <v>147</v>
      </c>
      <c r="J5962" t="s">
        <v>837</v>
      </c>
      <c r="K5962" t="s">
        <v>151</v>
      </c>
      <c r="L5962">
        <v>3600023558</v>
      </c>
    </row>
    <row r="5963" spans="3:12">
      <c r="C5963">
        <v>2100300025</v>
      </c>
      <c r="D5963">
        <v>6411220</v>
      </c>
      <c r="E5963" t="s">
        <v>736</v>
      </c>
      <c r="F5963">
        <v>5103010102</v>
      </c>
      <c r="G5963" s="13">
        <v>1680</v>
      </c>
      <c r="H5963" t="s">
        <v>1033</v>
      </c>
      <c r="I5963" t="s">
        <v>147</v>
      </c>
      <c r="J5963" t="s">
        <v>837</v>
      </c>
      <c r="K5963" t="s">
        <v>63</v>
      </c>
      <c r="L5963">
        <v>3600023558</v>
      </c>
    </row>
    <row r="5964" spans="3:12">
      <c r="C5964">
        <v>2100300025</v>
      </c>
      <c r="D5964">
        <v>6411220</v>
      </c>
      <c r="E5964" t="s">
        <v>736</v>
      </c>
      <c r="F5964">
        <v>5103010103</v>
      </c>
      <c r="G5964" s="13">
        <v>3160</v>
      </c>
      <c r="H5964" t="s">
        <v>1033</v>
      </c>
      <c r="I5964" t="s">
        <v>147</v>
      </c>
      <c r="J5964" t="s">
        <v>837</v>
      </c>
      <c r="K5964" t="s">
        <v>65</v>
      </c>
      <c r="L5964">
        <v>3600023558</v>
      </c>
    </row>
    <row r="5965" spans="3:12">
      <c r="C5965">
        <v>2100300025</v>
      </c>
      <c r="D5965">
        <v>6411220</v>
      </c>
      <c r="E5965" t="s">
        <v>736</v>
      </c>
      <c r="F5965">
        <v>5103010199</v>
      </c>
      <c r="G5965" s="13">
        <v>1450</v>
      </c>
      <c r="H5965" t="s">
        <v>1033</v>
      </c>
      <c r="I5965" t="s">
        <v>147</v>
      </c>
      <c r="J5965" t="s">
        <v>837</v>
      </c>
      <c r="K5965" t="s">
        <v>152</v>
      </c>
      <c r="L5965">
        <v>3600023558</v>
      </c>
    </row>
    <row r="5966" spans="3:12">
      <c r="C5966">
        <v>2100300025</v>
      </c>
      <c r="D5966">
        <v>6411220</v>
      </c>
      <c r="E5966" t="s">
        <v>736</v>
      </c>
      <c r="F5966">
        <v>5102010199</v>
      </c>
      <c r="G5966" s="13">
        <v>8795</v>
      </c>
      <c r="H5966" t="s">
        <v>1033</v>
      </c>
      <c r="I5966" t="s">
        <v>147</v>
      </c>
      <c r="J5966" t="s">
        <v>848</v>
      </c>
      <c r="K5966" t="s">
        <v>151</v>
      </c>
      <c r="L5966">
        <v>3600031251</v>
      </c>
    </row>
    <row r="5967" spans="3:12">
      <c r="C5967">
        <v>2100300025</v>
      </c>
      <c r="D5967">
        <v>6411220</v>
      </c>
      <c r="E5967" t="s">
        <v>736</v>
      </c>
      <c r="F5967">
        <v>5103010102</v>
      </c>
      <c r="G5967">
        <v>400</v>
      </c>
      <c r="H5967" t="s">
        <v>1033</v>
      </c>
      <c r="I5967" t="s">
        <v>147</v>
      </c>
      <c r="J5967" t="s">
        <v>799</v>
      </c>
      <c r="K5967" t="s">
        <v>63</v>
      </c>
      <c r="L5967">
        <v>3600017183</v>
      </c>
    </row>
    <row r="5968" spans="3:12">
      <c r="C5968">
        <v>2100300025</v>
      </c>
      <c r="D5968">
        <v>6411220</v>
      </c>
      <c r="E5968" t="s">
        <v>736</v>
      </c>
      <c r="F5968">
        <v>5103010199</v>
      </c>
      <c r="G5968" s="13">
        <v>1100</v>
      </c>
      <c r="H5968" t="s">
        <v>1033</v>
      </c>
      <c r="I5968" t="s">
        <v>147</v>
      </c>
      <c r="J5968" t="s">
        <v>799</v>
      </c>
      <c r="K5968" t="s">
        <v>152</v>
      </c>
      <c r="L5968">
        <v>3600017183</v>
      </c>
    </row>
    <row r="5969" spans="3:12">
      <c r="C5969">
        <v>2100300025</v>
      </c>
      <c r="D5969">
        <v>6411220</v>
      </c>
      <c r="E5969" t="s">
        <v>736</v>
      </c>
      <c r="F5969">
        <v>5103010102</v>
      </c>
      <c r="G5969">
        <v>400</v>
      </c>
      <c r="H5969" t="s">
        <v>1033</v>
      </c>
      <c r="I5969" t="s">
        <v>147</v>
      </c>
      <c r="J5969" t="s">
        <v>828</v>
      </c>
      <c r="K5969" t="s">
        <v>63</v>
      </c>
      <c r="L5969">
        <v>3600020246</v>
      </c>
    </row>
    <row r="5970" spans="3:12">
      <c r="C5970">
        <v>2100300025</v>
      </c>
      <c r="D5970">
        <v>6411220</v>
      </c>
      <c r="E5970" t="s">
        <v>736</v>
      </c>
      <c r="F5970">
        <v>5103010103</v>
      </c>
      <c r="G5970" s="13">
        <v>1800</v>
      </c>
      <c r="H5970" t="s">
        <v>1033</v>
      </c>
      <c r="I5970" t="s">
        <v>147</v>
      </c>
      <c r="J5970" t="s">
        <v>828</v>
      </c>
      <c r="K5970" t="s">
        <v>65</v>
      </c>
      <c r="L5970">
        <v>3600020246</v>
      </c>
    </row>
    <row r="5971" spans="3:12">
      <c r="C5971">
        <v>2100300025</v>
      </c>
      <c r="D5971">
        <v>6411220</v>
      </c>
      <c r="E5971" t="s">
        <v>736</v>
      </c>
      <c r="F5971">
        <v>5103010199</v>
      </c>
      <c r="G5971" s="13">
        <v>1240</v>
      </c>
      <c r="H5971" t="s">
        <v>1033</v>
      </c>
      <c r="I5971" t="s">
        <v>147</v>
      </c>
      <c r="J5971" t="s">
        <v>828</v>
      </c>
      <c r="K5971" t="s">
        <v>152</v>
      </c>
      <c r="L5971">
        <v>3600020246</v>
      </c>
    </row>
    <row r="5972" spans="3:12">
      <c r="C5972">
        <v>2100300025</v>
      </c>
      <c r="D5972">
        <v>6411220</v>
      </c>
      <c r="E5972" t="s">
        <v>736</v>
      </c>
      <c r="F5972">
        <v>5103010102</v>
      </c>
      <c r="G5972">
        <v>400</v>
      </c>
      <c r="H5972" t="s">
        <v>1033</v>
      </c>
      <c r="I5972" t="s">
        <v>147</v>
      </c>
      <c r="J5972" t="s">
        <v>859</v>
      </c>
      <c r="K5972" t="s">
        <v>63</v>
      </c>
      <c r="L5972">
        <v>3600034517</v>
      </c>
    </row>
    <row r="5973" spans="3:12">
      <c r="C5973">
        <v>2100300025</v>
      </c>
      <c r="D5973">
        <v>6411220</v>
      </c>
      <c r="E5973" t="s">
        <v>736</v>
      </c>
      <c r="F5973">
        <v>5103010199</v>
      </c>
      <c r="G5973" s="13">
        <v>1255.0999999999999</v>
      </c>
      <c r="H5973" t="s">
        <v>1033</v>
      </c>
      <c r="I5973" t="s">
        <v>147</v>
      </c>
      <c r="J5973" t="s">
        <v>859</v>
      </c>
      <c r="K5973" t="s">
        <v>152</v>
      </c>
      <c r="L5973">
        <v>3600034517</v>
      </c>
    </row>
    <row r="5974" spans="3:12">
      <c r="C5974">
        <v>2100300025</v>
      </c>
      <c r="D5974">
        <v>6411220</v>
      </c>
      <c r="E5974" t="s">
        <v>736</v>
      </c>
      <c r="F5974">
        <v>5104030207</v>
      </c>
      <c r="G5974" s="13">
        <v>2090</v>
      </c>
      <c r="H5974" t="s">
        <v>1033</v>
      </c>
      <c r="I5974" t="s">
        <v>147</v>
      </c>
      <c r="J5974" t="s">
        <v>859</v>
      </c>
      <c r="K5974" t="s">
        <v>193</v>
      </c>
      <c r="L5974">
        <v>3600034517</v>
      </c>
    </row>
    <row r="5975" spans="3:12">
      <c r="C5975">
        <v>2100300025</v>
      </c>
      <c r="D5975">
        <v>6411220</v>
      </c>
      <c r="E5975" t="s">
        <v>736</v>
      </c>
      <c r="F5975">
        <v>5104010112</v>
      </c>
      <c r="G5975" s="13">
        <v>2000</v>
      </c>
      <c r="H5975" t="s">
        <v>1033</v>
      </c>
      <c r="I5975" t="s">
        <v>147</v>
      </c>
      <c r="J5975" t="s">
        <v>836</v>
      </c>
      <c r="K5975" t="s">
        <v>490</v>
      </c>
      <c r="L5975">
        <v>3600023915</v>
      </c>
    </row>
    <row r="5976" spans="3:12">
      <c r="C5976">
        <v>2100300025</v>
      </c>
      <c r="D5976">
        <v>6411240</v>
      </c>
      <c r="E5976" t="s">
        <v>736</v>
      </c>
      <c r="F5976">
        <v>5104020105</v>
      </c>
      <c r="G5976" s="13">
        <v>1653.15</v>
      </c>
      <c r="H5976" t="s">
        <v>1033</v>
      </c>
      <c r="I5976" t="s">
        <v>147</v>
      </c>
      <c r="J5976" t="s">
        <v>832</v>
      </c>
      <c r="K5976" t="s">
        <v>83</v>
      </c>
      <c r="L5976">
        <v>3600021883</v>
      </c>
    </row>
    <row r="5977" spans="3:12">
      <c r="C5977">
        <v>2100300025</v>
      </c>
      <c r="D5977">
        <v>6411240</v>
      </c>
      <c r="E5977" t="s">
        <v>736</v>
      </c>
      <c r="F5977">
        <v>5104020105</v>
      </c>
      <c r="G5977">
        <v>426.79</v>
      </c>
      <c r="H5977" t="s">
        <v>1033</v>
      </c>
      <c r="I5977" t="s">
        <v>147</v>
      </c>
      <c r="J5977" t="s">
        <v>869</v>
      </c>
      <c r="K5977" t="s">
        <v>83</v>
      </c>
      <c r="L5977">
        <v>3600041987</v>
      </c>
    </row>
    <row r="5978" spans="3:12">
      <c r="C5978">
        <v>2100300025</v>
      </c>
      <c r="D5978">
        <v>6411240</v>
      </c>
      <c r="E5978" t="s">
        <v>736</v>
      </c>
      <c r="F5978">
        <v>5104020105</v>
      </c>
      <c r="G5978">
        <v>319.93</v>
      </c>
      <c r="H5978" t="s">
        <v>1033</v>
      </c>
      <c r="I5978" t="s">
        <v>147</v>
      </c>
      <c r="J5978" t="s">
        <v>980</v>
      </c>
      <c r="K5978" t="s">
        <v>83</v>
      </c>
      <c r="L5978">
        <v>3600040984</v>
      </c>
    </row>
    <row r="5979" spans="3:12">
      <c r="C5979">
        <v>2100300025</v>
      </c>
      <c r="D5979">
        <v>6411240</v>
      </c>
      <c r="E5979" t="s">
        <v>1028</v>
      </c>
      <c r="F5979">
        <v>5104020105</v>
      </c>
      <c r="G5979" s="13">
        <v>1611.42</v>
      </c>
      <c r="H5979" t="s">
        <v>1029</v>
      </c>
      <c r="I5979" t="s">
        <v>147</v>
      </c>
      <c r="J5979" t="s">
        <v>978</v>
      </c>
      <c r="K5979" t="s">
        <v>83</v>
      </c>
      <c r="L5979">
        <v>3600041096</v>
      </c>
    </row>
    <row r="5980" spans="3:12">
      <c r="C5980">
        <v>2100300025</v>
      </c>
      <c r="D5980">
        <v>6411220</v>
      </c>
      <c r="E5980" t="s">
        <v>736</v>
      </c>
      <c r="F5980">
        <v>5104030207</v>
      </c>
      <c r="G5980">
        <v>425</v>
      </c>
      <c r="H5980" t="s">
        <v>1033</v>
      </c>
      <c r="I5980" t="s">
        <v>147</v>
      </c>
      <c r="J5980" t="s">
        <v>869</v>
      </c>
      <c r="K5980" t="s">
        <v>193</v>
      </c>
      <c r="L5980">
        <v>3600042407</v>
      </c>
    </row>
    <row r="5981" spans="3:12">
      <c r="C5981">
        <v>2100300025</v>
      </c>
      <c r="D5981">
        <v>6411210</v>
      </c>
      <c r="E5981" t="s">
        <v>790</v>
      </c>
      <c r="F5981">
        <v>5104040102</v>
      </c>
      <c r="G5981" s="13">
        <v>94400</v>
      </c>
      <c r="H5981" t="s">
        <v>791</v>
      </c>
      <c r="I5981" t="s">
        <v>147</v>
      </c>
      <c r="J5981" t="s">
        <v>879</v>
      </c>
      <c r="K5981" t="s">
        <v>159</v>
      </c>
      <c r="L5981">
        <v>3600000932</v>
      </c>
    </row>
    <row r="5982" spans="3:12">
      <c r="C5982">
        <v>2100300025</v>
      </c>
      <c r="D5982">
        <v>6411210</v>
      </c>
      <c r="E5982" t="s">
        <v>790</v>
      </c>
      <c r="F5982">
        <v>5104040102</v>
      </c>
      <c r="G5982" s="13">
        <v>102240</v>
      </c>
      <c r="H5982" t="s">
        <v>791</v>
      </c>
      <c r="I5982" t="s">
        <v>147</v>
      </c>
      <c r="J5982" t="s">
        <v>930</v>
      </c>
      <c r="K5982" t="s">
        <v>159</v>
      </c>
      <c r="L5982">
        <v>3600025704</v>
      </c>
    </row>
    <row r="5983" spans="3:12">
      <c r="C5983">
        <v>2100300025</v>
      </c>
      <c r="D5983">
        <v>6411210</v>
      </c>
      <c r="E5983" t="s">
        <v>790</v>
      </c>
      <c r="F5983">
        <v>5104040102</v>
      </c>
      <c r="G5983" s="13">
        <v>39260</v>
      </c>
      <c r="H5983" t="s">
        <v>791</v>
      </c>
      <c r="I5983" t="s">
        <v>147</v>
      </c>
      <c r="J5983" t="s">
        <v>940</v>
      </c>
      <c r="K5983" t="s">
        <v>159</v>
      </c>
      <c r="L5983">
        <v>3600027321</v>
      </c>
    </row>
    <row r="5984" spans="3:12">
      <c r="C5984">
        <v>2100300025</v>
      </c>
      <c r="D5984">
        <v>6411210</v>
      </c>
      <c r="E5984" t="s">
        <v>792</v>
      </c>
      <c r="F5984">
        <v>5104040102</v>
      </c>
      <c r="G5984" s="13">
        <v>170000</v>
      </c>
      <c r="H5984" t="s">
        <v>793</v>
      </c>
      <c r="I5984" t="s">
        <v>147</v>
      </c>
      <c r="J5984" t="s">
        <v>879</v>
      </c>
      <c r="K5984" t="s">
        <v>159</v>
      </c>
      <c r="L5984">
        <v>3600002055</v>
      </c>
    </row>
    <row r="5985" spans="3:12">
      <c r="C5985">
        <v>2100300025</v>
      </c>
      <c r="D5985">
        <v>6411210</v>
      </c>
      <c r="E5985" t="s">
        <v>792</v>
      </c>
      <c r="F5985">
        <v>5104040102</v>
      </c>
      <c r="G5985" s="13">
        <v>170000</v>
      </c>
      <c r="H5985" t="s">
        <v>793</v>
      </c>
      <c r="I5985" t="s">
        <v>147</v>
      </c>
      <c r="J5985" t="s">
        <v>814</v>
      </c>
      <c r="K5985" t="s">
        <v>159</v>
      </c>
      <c r="L5985">
        <v>3600009071</v>
      </c>
    </row>
    <row r="5986" spans="3:12">
      <c r="C5986">
        <v>2100300025</v>
      </c>
      <c r="D5986">
        <v>6411210</v>
      </c>
      <c r="E5986" t="s">
        <v>792</v>
      </c>
      <c r="F5986">
        <v>5104040102</v>
      </c>
      <c r="G5986" s="13">
        <v>170000</v>
      </c>
      <c r="H5986" t="s">
        <v>793</v>
      </c>
      <c r="I5986" t="s">
        <v>147</v>
      </c>
      <c r="J5986" t="s">
        <v>906</v>
      </c>
      <c r="K5986" t="s">
        <v>159</v>
      </c>
      <c r="L5986">
        <v>3600014426</v>
      </c>
    </row>
    <row r="5987" spans="3:12">
      <c r="C5987">
        <v>2100300025</v>
      </c>
      <c r="D5987">
        <v>6411210</v>
      </c>
      <c r="E5987" t="s">
        <v>792</v>
      </c>
      <c r="F5987">
        <v>5104040102</v>
      </c>
      <c r="G5987" s="13">
        <v>170000</v>
      </c>
      <c r="H5987" t="s">
        <v>793</v>
      </c>
      <c r="I5987" t="s">
        <v>147</v>
      </c>
      <c r="J5987" t="s">
        <v>828</v>
      </c>
      <c r="K5987" t="s">
        <v>159</v>
      </c>
      <c r="L5987">
        <v>3600020402</v>
      </c>
    </row>
    <row r="5988" spans="3:12">
      <c r="C5988">
        <v>2100300025</v>
      </c>
      <c r="D5988">
        <v>6411210</v>
      </c>
      <c r="E5988" t="s">
        <v>792</v>
      </c>
      <c r="F5988">
        <v>5104040102</v>
      </c>
      <c r="G5988" s="13">
        <v>170000</v>
      </c>
      <c r="H5988" t="s">
        <v>793</v>
      </c>
      <c r="I5988" t="s">
        <v>147</v>
      </c>
      <c r="J5988" t="s">
        <v>836</v>
      </c>
      <c r="K5988" t="s">
        <v>159</v>
      </c>
      <c r="L5988">
        <v>3600023916</v>
      </c>
    </row>
    <row r="5989" spans="3:12">
      <c r="C5989">
        <v>2100300025</v>
      </c>
      <c r="D5989">
        <v>6411210</v>
      </c>
      <c r="E5989" t="s">
        <v>792</v>
      </c>
      <c r="F5989">
        <v>5104040102</v>
      </c>
      <c r="G5989" s="13">
        <v>170000</v>
      </c>
      <c r="H5989" t="s">
        <v>793</v>
      </c>
      <c r="I5989" t="s">
        <v>147</v>
      </c>
      <c r="J5989" t="s">
        <v>941</v>
      </c>
      <c r="K5989" t="s">
        <v>159</v>
      </c>
      <c r="L5989">
        <v>3600023644</v>
      </c>
    </row>
    <row r="5990" spans="3:12">
      <c r="C5990">
        <v>2100300025</v>
      </c>
      <c r="D5990">
        <v>6411210</v>
      </c>
      <c r="E5990" t="s">
        <v>792</v>
      </c>
      <c r="F5990">
        <v>5104040102</v>
      </c>
      <c r="G5990" s="13">
        <v>175000</v>
      </c>
      <c r="H5990" t="s">
        <v>793</v>
      </c>
      <c r="I5990" t="s">
        <v>147</v>
      </c>
      <c r="J5990" t="s">
        <v>859</v>
      </c>
      <c r="K5990" t="s">
        <v>159</v>
      </c>
      <c r="L5990">
        <v>3600032827</v>
      </c>
    </row>
    <row r="5991" spans="3:12">
      <c r="C5991">
        <v>2100300025</v>
      </c>
      <c r="D5991">
        <v>6411210</v>
      </c>
      <c r="E5991" t="s">
        <v>792</v>
      </c>
      <c r="F5991">
        <v>5104040102</v>
      </c>
      <c r="G5991" s="13">
        <v>190000</v>
      </c>
      <c r="H5991" t="s">
        <v>793</v>
      </c>
      <c r="I5991" t="s">
        <v>147</v>
      </c>
      <c r="J5991" t="s">
        <v>852</v>
      </c>
      <c r="K5991" t="s">
        <v>159</v>
      </c>
      <c r="L5991">
        <v>3600032558</v>
      </c>
    </row>
    <row r="5992" spans="3:12">
      <c r="C5992">
        <v>2100300025</v>
      </c>
      <c r="D5992">
        <v>6411210</v>
      </c>
      <c r="E5992" t="s">
        <v>792</v>
      </c>
      <c r="F5992">
        <v>5104040102</v>
      </c>
      <c r="G5992" s="13">
        <v>175000</v>
      </c>
      <c r="H5992" t="s">
        <v>793</v>
      </c>
      <c r="I5992" t="s">
        <v>147</v>
      </c>
      <c r="J5992" t="s">
        <v>867</v>
      </c>
      <c r="K5992" t="s">
        <v>159</v>
      </c>
      <c r="L5992">
        <v>3600032874</v>
      </c>
    </row>
    <row r="5993" spans="3:12">
      <c r="C5993">
        <v>2100300025</v>
      </c>
      <c r="D5993">
        <v>6411210</v>
      </c>
      <c r="E5993" t="s">
        <v>792</v>
      </c>
      <c r="F5993">
        <v>5104040102</v>
      </c>
      <c r="G5993" s="13">
        <v>170000</v>
      </c>
      <c r="H5993" t="s">
        <v>793</v>
      </c>
      <c r="I5993" t="s">
        <v>147</v>
      </c>
      <c r="J5993" t="s">
        <v>887</v>
      </c>
      <c r="K5993" t="s">
        <v>159</v>
      </c>
      <c r="L5993">
        <v>3600005968</v>
      </c>
    </row>
    <row r="5994" spans="3:12">
      <c r="C5994">
        <v>2100300025</v>
      </c>
      <c r="D5994">
        <v>6411210</v>
      </c>
      <c r="E5994" t="s">
        <v>792</v>
      </c>
      <c r="F5994">
        <v>5104040102</v>
      </c>
      <c r="G5994" s="13">
        <v>170000</v>
      </c>
      <c r="H5994" t="s">
        <v>793</v>
      </c>
      <c r="I5994" t="s">
        <v>147</v>
      </c>
      <c r="J5994" t="s">
        <v>823</v>
      </c>
      <c r="K5994" t="s">
        <v>159</v>
      </c>
      <c r="L5994">
        <v>3600014797</v>
      </c>
    </row>
    <row r="5995" spans="3:12">
      <c r="C5995">
        <v>2100300025</v>
      </c>
      <c r="D5995">
        <v>6411210</v>
      </c>
      <c r="E5995" t="s">
        <v>792</v>
      </c>
      <c r="F5995">
        <v>5104040102</v>
      </c>
      <c r="G5995" s="13">
        <v>180000</v>
      </c>
      <c r="H5995" t="s">
        <v>793</v>
      </c>
      <c r="I5995" t="s">
        <v>147</v>
      </c>
      <c r="J5995" t="s">
        <v>947</v>
      </c>
      <c r="K5995" t="s">
        <v>159</v>
      </c>
      <c r="L5995">
        <v>3600028987</v>
      </c>
    </row>
    <row r="5996" spans="3:12">
      <c r="C5996">
        <v>2100300025</v>
      </c>
      <c r="D5996">
        <v>6426000</v>
      </c>
      <c r="E5996" t="s">
        <v>188</v>
      </c>
      <c r="F5996">
        <v>5101010108</v>
      </c>
      <c r="G5996" s="13">
        <v>1149205</v>
      </c>
      <c r="I5996" t="s">
        <v>189</v>
      </c>
      <c r="J5996" t="s">
        <v>875</v>
      </c>
      <c r="K5996" t="s">
        <v>51</v>
      </c>
      <c r="L5996">
        <v>3600000752</v>
      </c>
    </row>
    <row r="5997" spans="3:12">
      <c r="C5997">
        <v>2100300025</v>
      </c>
      <c r="D5997">
        <v>6426000</v>
      </c>
      <c r="E5997" t="s">
        <v>188</v>
      </c>
      <c r="F5997">
        <v>5101010108</v>
      </c>
      <c r="G5997" s="13">
        <v>1139730</v>
      </c>
      <c r="I5997" t="s">
        <v>189</v>
      </c>
      <c r="J5997" t="s">
        <v>890</v>
      </c>
      <c r="K5997" t="s">
        <v>51</v>
      </c>
      <c r="L5997">
        <v>3600007033</v>
      </c>
    </row>
    <row r="5998" spans="3:12">
      <c r="C5998">
        <v>2100300025</v>
      </c>
      <c r="D5998">
        <v>6426000</v>
      </c>
      <c r="E5998" t="s">
        <v>188</v>
      </c>
      <c r="F5998">
        <v>5101010108</v>
      </c>
      <c r="G5998" s="13">
        <v>1080837.5</v>
      </c>
      <c r="I5998" t="s">
        <v>189</v>
      </c>
      <c r="J5998" t="s">
        <v>897</v>
      </c>
      <c r="K5998" t="s">
        <v>51</v>
      </c>
      <c r="L5998">
        <v>3600009400</v>
      </c>
    </row>
    <row r="5999" spans="3:12">
      <c r="C5999">
        <v>2100300025</v>
      </c>
      <c r="D5999">
        <v>6426000</v>
      </c>
      <c r="E5999" t="s">
        <v>188</v>
      </c>
      <c r="F5999">
        <v>5101010108</v>
      </c>
      <c r="G5999" s="13">
        <v>1166376.25</v>
      </c>
      <c r="I5999" t="s">
        <v>189</v>
      </c>
      <c r="J5999" t="s">
        <v>922</v>
      </c>
      <c r="K5999" t="s">
        <v>51</v>
      </c>
      <c r="L5999">
        <v>3600020333</v>
      </c>
    </row>
    <row r="6000" spans="3:12">
      <c r="C6000">
        <v>2100300025</v>
      </c>
      <c r="D6000">
        <v>6426000</v>
      </c>
      <c r="E6000" t="s">
        <v>188</v>
      </c>
      <c r="F6000">
        <v>5101020114</v>
      </c>
      <c r="G6000" s="13">
        <v>4000</v>
      </c>
      <c r="I6000" t="s">
        <v>189</v>
      </c>
      <c r="J6000" t="s">
        <v>561</v>
      </c>
      <c r="K6000" t="s">
        <v>513</v>
      </c>
      <c r="L6000">
        <v>3600027609</v>
      </c>
    </row>
    <row r="6001" spans="3:12">
      <c r="C6001">
        <v>2100300025</v>
      </c>
      <c r="D6001">
        <v>6426000</v>
      </c>
      <c r="E6001" t="s">
        <v>188</v>
      </c>
      <c r="F6001">
        <v>5101010108</v>
      </c>
      <c r="G6001" s="13">
        <v>1079265</v>
      </c>
      <c r="I6001" t="s">
        <v>189</v>
      </c>
      <c r="J6001" t="s">
        <v>907</v>
      </c>
      <c r="K6001" t="s">
        <v>51</v>
      </c>
      <c r="L6001">
        <v>3600014980</v>
      </c>
    </row>
    <row r="6002" spans="3:12">
      <c r="C6002">
        <v>2100300025</v>
      </c>
      <c r="D6002">
        <v>6426000</v>
      </c>
      <c r="E6002" t="s">
        <v>188</v>
      </c>
      <c r="F6002">
        <v>5101010108</v>
      </c>
      <c r="G6002" s="13">
        <v>1136901.25</v>
      </c>
      <c r="I6002" t="s">
        <v>189</v>
      </c>
      <c r="J6002" t="s">
        <v>915</v>
      </c>
      <c r="K6002" t="s">
        <v>51</v>
      </c>
      <c r="L6002">
        <v>3600018615</v>
      </c>
    </row>
    <row r="6003" spans="3:12">
      <c r="C6003">
        <v>2100300025</v>
      </c>
      <c r="D6003">
        <v>6426000</v>
      </c>
      <c r="E6003" t="s">
        <v>188</v>
      </c>
      <c r="F6003">
        <v>5101010108</v>
      </c>
      <c r="G6003" s="13">
        <v>1195080</v>
      </c>
      <c r="I6003" t="s">
        <v>189</v>
      </c>
      <c r="J6003" t="s">
        <v>930</v>
      </c>
      <c r="K6003" t="s">
        <v>51</v>
      </c>
      <c r="L6003">
        <v>3600025801</v>
      </c>
    </row>
    <row r="6004" spans="3:12">
      <c r="C6004">
        <v>2100300025</v>
      </c>
      <c r="D6004">
        <v>6426000</v>
      </c>
      <c r="E6004" t="s">
        <v>188</v>
      </c>
      <c r="F6004">
        <v>5101010108</v>
      </c>
      <c r="G6004" s="13">
        <v>1079796.25</v>
      </c>
      <c r="I6004" t="s">
        <v>189</v>
      </c>
      <c r="J6004" t="s">
        <v>940</v>
      </c>
      <c r="K6004" t="s">
        <v>51</v>
      </c>
      <c r="L6004">
        <v>3600022897</v>
      </c>
    </row>
    <row r="6005" spans="3:12">
      <c r="C6005">
        <v>2100300025</v>
      </c>
      <c r="D6005">
        <v>6426000</v>
      </c>
      <c r="E6005" t="s">
        <v>188</v>
      </c>
      <c r="F6005">
        <v>5101010108</v>
      </c>
      <c r="G6005" s="13">
        <v>1311123.75</v>
      </c>
      <c r="I6005" t="s">
        <v>189</v>
      </c>
      <c r="J6005" t="s">
        <v>954</v>
      </c>
      <c r="K6005" t="s">
        <v>51</v>
      </c>
      <c r="L6005">
        <v>3600030303</v>
      </c>
    </row>
    <row r="6006" spans="3:12">
      <c r="C6006">
        <v>2100300025</v>
      </c>
      <c r="D6006">
        <v>6426000</v>
      </c>
      <c r="E6006" t="s">
        <v>188</v>
      </c>
      <c r="F6006">
        <v>5101010108</v>
      </c>
      <c r="G6006" s="13">
        <v>1238748.75</v>
      </c>
      <c r="I6006" t="s">
        <v>189</v>
      </c>
      <c r="J6006" t="s">
        <v>963</v>
      </c>
      <c r="K6006" t="s">
        <v>51</v>
      </c>
      <c r="L6006">
        <v>3600032910</v>
      </c>
    </row>
    <row r="6007" spans="3:12">
      <c r="C6007">
        <v>2100300025</v>
      </c>
      <c r="D6007">
        <v>6426000</v>
      </c>
      <c r="E6007" t="s">
        <v>188</v>
      </c>
      <c r="F6007">
        <v>5101010108</v>
      </c>
      <c r="G6007" s="13">
        <v>1400133.75</v>
      </c>
      <c r="I6007" t="s">
        <v>189</v>
      </c>
      <c r="J6007" t="s">
        <v>982</v>
      </c>
      <c r="K6007" t="s">
        <v>51</v>
      </c>
      <c r="L6007">
        <v>3600040916</v>
      </c>
    </row>
    <row r="6008" spans="3:12">
      <c r="C6008">
        <v>2100300025</v>
      </c>
      <c r="D6008">
        <v>6426000</v>
      </c>
      <c r="E6008" t="s">
        <v>188</v>
      </c>
      <c r="F6008">
        <v>5101010108</v>
      </c>
      <c r="G6008" s="13">
        <v>1420053.75</v>
      </c>
      <c r="I6008" t="s">
        <v>189</v>
      </c>
      <c r="J6008" t="s">
        <v>865</v>
      </c>
      <c r="K6008" t="s">
        <v>51</v>
      </c>
      <c r="L6008">
        <v>3600038442</v>
      </c>
    </row>
    <row r="6009" spans="3:12">
      <c r="C6009">
        <v>2100300025</v>
      </c>
      <c r="D6009">
        <v>6426000</v>
      </c>
      <c r="E6009" t="s">
        <v>188</v>
      </c>
      <c r="F6009">
        <v>5101010199</v>
      </c>
      <c r="G6009" s="13">
        <v>1273550</v>
      </c>
      <c r="I6009" t="s">
        <v>189</v>
      </c>
      <c r="J6009" t="s">
        <v>878</v>
      </c>
      <c r="K6009" t="s">
        <v>190</v>
      </c>
      <c r="L6009">
        <v>3600002200</v>
      </c>
    </row>
    <row r="6010" spans="3:12">
      <c r="C6010">
        <v>2100300025</v>
      </c>
      <c r="D6010">
        <v>6426000</v>
      </c>
      <c r="E6010" t="s">
        <v>188</v>
      </c>
      <c r="F6010">
        <v>5101020106</v>
      </c>
      <c r="G6010" s="13">
        <v>24213</v>
      </c>
      <c r="I6010" t="s">
        <v>189</v>
      </c>
      <c r="J6010" t="s">
        <v>878</v>
      </c>
      <c r="K6010" t="s">
        <v>148</v>
      </c>
      <c r="L6010">
        <v>3600002200</v>
      </c>
    </row>
    <row r="6011" spans="3:12">
      <c r="C6011">
        <v>2100300025</v>
      </c>
      <c r="D6011">
        <v>6426000</v>
      </c>
      <c r="E6011" t="s">
        <v>188</v>
      </c>
      <c r="F6011">
        <v>5101020112</v>
      </c>
      <c r="G6011" s="13">
        <v>17476.2</v>
      </c>
      <c r="I6011" t="s">
        <v>189</v>
      </c>
      <c r="J6011" t="s">
        <v>878</v>
      </c>
      <c r="K6011" t="s">
        <v>191</v>
      </c>
      <c r="L6011">
        <v>3600002200</v>
      </c>
    </row>
    <row r="6012" spans="3:12">
      <c r="C6012">
        <v>2100300025</v>
      </c>
      <c r="D6012">
        <v>6426000</v>
      </c>
      <c r="E6012" t="s">
        <v>188</v>
      </c>
      <c r="F6012">
        <v>5101010199</v>
      </c>
      <c r="G6012">
        <v>400</v>
      </c>
      <c r="I6012" t="s">
        <v>189</v>
      </c>
      <c r="J6012" t="s">
        <v>878</v>
      </c>
      <c r="K6012" t="s">
        <v>190</v>
      </c>
      <c r="L6012">
        <v>3600002083</v>
      </c>
    </row>
    <row r="6013" spans="3:12">
      <c r="C6013">
        <v>2100300025</v>
      </c>
      <c r="D6013">
        <v>6426000</v>
      </c>
      <c r="E6013" t="s">
        <v>188</v>
      </c>
      <c r="F6013">
        <v>5101010199</v>
      </c>
      <c r="G6013" s="13">
        <v>1285660</v>
      </c>
      <c r="I6013" t="s">
        <v>189</v>
      </c>
      <c r="J6013" t="s">
        <v>894</v>
      </c>
      <c r="K6013" t="s">
        <v>190</v>
      </c>
      <c r="L6013">
        <v>3600011389</v>
      </c>
    </row>
    <row r="6014" spans="3:12">
      <c r="C6014">
        <v>2100300025</v>
      </c>
      <c r="D6014">
        <v>6426000</v>
      </c>
      <c r="E6014" t="s">
        <v>188</v>
      </c>
      <c r="F6014">
        <v>5101020106</v>
      </c>
      <c r="G6014" s="13">
        <v>24474</v>
      </c>
      <c r="I6014" t="s">
        <v>189</v>
      </c>
      <c r="J6014" t="s">
        <v>894</v>
      </c>
      <c r="K6014" t="s">
        <v>148</v>
      </c>
      <c r="L6014">
        <v>3600011389</v>
      </c>
    </row>
    <row r="6015" spans="3:12">
      <c r="C6015">
        <v>2100300025</v>
      </c>
      <c r="D6015">
        <v>6426000</v>
      </c>
      <c r="E6015" t="s">
        <v>188</v>
      </c>
      <c r="F6015">
        <v>5101020112</v>
      </c>
      <c r="G6015" s="13">
        <v>17188.2</v>
      </c>
      <c r="I6015" t="s">
        <v>189</v>
      </c>
      <c r="J6015" t="s">
        <v>894</v>
      </c>
      <c r="K6015" t="s">
        <v>191</v>
      </c>
      <c r="L6015">
        <v>3600011389</v>
      </c>
    </row>
    <row r="6016" spans="3:12">
      <c r="C6016">
        <v>2100300025</v>
      </c>
      <c r="D6016">
        <v>6426000</v>
      </c>
      <c r="E6016" t="s">
        <v>188</v>
      </c>
      <c r="F6016">
        <v>5101010199</v>
      </c>
      <c r="G6016" s="13">
        <v>1277910</v>
      </c>
      <c r="I6016" t="s">
        <v>189</v>
      </c>
      <c r="J6016" t="s">
        <v>825</v>
      </c>
      <c r="K6016" t="s">
        <v>190</v>
      </c>
      <c r="L6016">
        <v>3600018399</v>
      </c>
    </row>
    <row r="6017" spans="3:12">
      <c r="C6017">
        <v>2100300025</v>
      </c>
      <c r="D6017">
        <v>6426000</v>
      </c>
      <c r="E6017" t="s">
        <v>188</v>
      </c>
      <c r="F6017">
        <v>5101020106</v>
      </c>
      <c r="G6017" s="13">
        <v>36482</v>
      </c>
      <c r="I6017" t="s">
        <v>189</v>
      </c>
      <c r="J6017" t="s">
        <v>825</v>
      </c>
      <c r="K6017" t="s">
        <v>148</v>
      </c>
      <c r="L6017">
        <v>3600018399</v>
      </c>
    </row>
    <row r="6018" spans="3:12">
      <c r="C6018">
        <v>2100300025</v>
      </c>
      <c r="D6018">
        <v>6426000</v>
      </c>
      <c r="E6018" t="s">
        <v>188</v>
      </c>
      <c r="F6018">
        <v>5101020112</v>
      </c>
      <c r="G6018" s="13">
        <v>17508</v>
      </c>
      <c r="I6018" t="s">
        <v>189</v>
      </c>
      <c r="J6018" t="s">
        <v>825</v>
      </c>
      <c r="K6018" t="s">
        <v>191</v>
      </c>
      <c r="L6018">
        <v>3600018399</v>
      </c>
    </row>
    <row r="6019" spans="3:12">
      <c r="C6019">
        <v>2100300025</v>
      </c>
      <c r="D6019">
        <v>6426000</v>
      </c>
      <c r="E6019" t="s">
        <v>188</v>
      </c>
      <c r="F6019">
        <v>5101010199</v>
      </c>
      <c r="G6019" s="13">
        <v>1246937.42</v>
      </c>
      <c r="I6019" t="s">
        <v>189</v>
      </c>
      <c r="J6019" t="s">
        <v>561</v>
      </c>
      <c r="K6019" t="s">
        <v>190</v>
      </c>
      <c r="L6019">
        <v>3600026842</v>
      </c>
    </row>
    <row r="6020" spans="3:12">
      <c r="C6020">
        <v>2100300025</v>
      </c>
      <c r="D6020">
        <v>6426000</v>
      </c>
      <c r="E6020" t="s">
        <v>188</v>
      </c>
      <c r="F6020">
        <v>5101020106</v>
      </c>
      <c r="G6020" s="13">
        <v>59536</v>
      </c>
      <c r="I6020" t="s">
        <v>189</v>
      </c>
      <c r="J6020" t="s">
        <v>561</v>
      </c>
      <c r="K6020" t="s">
        <v>148</v>
      </c>
      <c r="L6020">
        <v>3600026842</v>
      </c>
    </row>
    <row r="6021" spans="3:12">
      <c r="C6021">
        <v>2100300025</v>
      </c>
      <c r="D6021">
        <v>6426000</v>
      </c>
      <c r="E6021" t="s">
        <v>188</v>
      </c>
      <c r="F6021">
        <v>5101020112</v>
      </c>
      <c r="G6021" s="13">
        <v>17089.2</v>
      </c>
      <c r="I6021" t="s">
        <v>189</v>
      </c>
      <c r="J6021" t="s">
        <v>561</v>
      </c>
      <c r="K6021" t="s">
        <v>191</v>
      </c>
      <c r="L6021">
        <v>3600026842</v>
      </c>
    </row>
    <row r="6022" spans="3:12">
      <c r="C6022">
        <v>2100300025</v>
      </c>
      <c r="D6022">
        <v>6426000</v>
      </c>
      <c r="E6022" t="s">
        <v>188</v>
      </c>
      <c r="F6022">
        <v>5101010199</v>
      </c>
      <c r="G6022" s="13">
        <v>1242417.1000000001</v>
      </c>
      <c r="I6022" t="s">
        <v>189</v>
      </c>
      <c r="J6022" t="s">
        <v>958</v>
      </c>
      <c r="K6022" t="s">
        <v>190</v>
      </c>
      <c r="L6022">
        <v>3600029868</v>
      </c>
    </row>
    <row r="6023" spans="3:12">
      <c r="C6023">
        <v>2100300025</v>
      </c>
      <c r="D6023">
        <v>6426000</v>
      </c>
      <c r="E6023" t="s">
        <v>188</v>
      </c>
      <c r="F6023">
        <v>5101020106</v>
      </c>
      <c r="G6023" s="13">
        <v>29670</v>
      </c>
      <c r="I6023" t="s">
        <v>189</v>
      </c>
      <c r="J6023" t="s">
        <v>958</v>
      </c>
      <c r="K6023" t="s">
        <v>148</v>
      </c>
      <c r="L6023">
        <v>3600029868</v>
      </c>
    </row>
    <row r="6024" spans="3:12">
      <c r="C6024">
        <v>2100300025</v>
      </c>
      <c r="D6024">
        <v>6426000</v>
      </c>
      <c r="E6024" t="s">
        <v>188</v>
      </c>
      <c r="F6024">
        <v>5101020112</v>
      </c>
      <c r="G6024" s="13">
        <v>17072.400000000001</v>
      </c>
      <c r="I6024" t="s">
        <v>189</v>
      </c>
      <c r="J6024" t="s">
        <v>958</v>
      </c>
      <c r="K6024" t="s">
        <v>191</v>
      </c>
      <c r="L6024">
        <v>3600029868</v>
      </c>
    </row>
    <row r="6025" spans="3:12">
      <c r="C6025">
        <v>2100300025</v>
      </c>
      <c r="D6025">
        <v>6426000</v>
      </c>
      <c r="E6025" t="s">
        <v>188</v>
      </c>
      <c r="F6025">
        <v>5101020106</v>
      </c>
      <c r="G6025" s="13">
        <v>36488</v>
      </c>
      <c r="I6025" t="s">
        <v>189</v>
      </c>
      <c r="J6025" t="s">
        <v>555</v>
      </c>
      <c r="K6025" t="s">
        <v>148</v>
      </c>
      <c r="L6025">
        <v>3600015561</v>
      </c>
    </row>
    <row r="6026" spans="3:12">
      <c r="C6026">
        <v>2100300025</v>
      </c>
      <c r="D6026">
        <v>6426000</v>
      </c>
      <c r="E6026" t="s">
        <v>188</v>
      </c>
      <c r="F6026">
        <v>5101020114</v>
      </c>
      <c r="G6026" s="13">
        <v>7500</v>
      </c>
      <c r="I6026" t="s">
        <v>189</v>
      </c>
      <c r="J6026" t="s">
        <v>890</v>
      </c>
      <c r="K6026" t="s">
        <v>513</v>
      </c>
      <c r="L6026">
        <v>3600007030</v>
      </c>
    </row>
    <row r="6027" spans="3:12">
      <c r="C6027">
        <v>2100300025</v>
      </c>
      <c r="D6027">
        <v>6426000</v>
      </c>
      <c r="E6027" t="s">
        <v>188</v>
      </c>
      <c r="F6027">
        <v>5101020114</v>
      </c>
      <c r="G6027" s="13">
        <v>4000</v>
      </c>
      <c r="I6027" t="s">
        <v>189</v>
      </c>
      <c r="J6027" t="s">
        <v>967</v>
      </c>
      <c r="K6027" t="s">
        <v>513</v>
      </c>
      <c r="L6027">
        <v>3600035010</v>
      </c>
    </row>
    <row r="6028" spans="3:12">
      <c r="C6028">
        <v>2100300025</v>
      </c>
      <c r="D6028">
        <v>6426000</v>
      </c>
      <c r="E6028" t="s">
        <v>188</v>
      </c>
      <c r="F6028">
        <v>5101020199</v>
      </c>
      <c r="G6028" s="13">
        <v>36100</v>
      </c>
      <c r="I6028" t="s">
        <v>189</v>
      </c>
      <c r="J6028" t="s">
        <v>912</v>
      </c>
      <c r="K6028" t="s">
        <v>486</v>
      </c>
      <c r="L6028">
        <v>3600001026</v>
      </c>
    </row>
    <row r="6029" spans="3:12">
      <c r="C6029">
        <v>2100300025</v>
      </c>
      <c r="D6029">
        <v>6426000</v>
      </c>
      <c r="E6029" t="s">
        <v>188</v>
      </c>
      <c r="F6029">
        <v>5101010199</v>
      </c>
      <c r="G6029" s="13">
        <v>1567</v>
      </c>
      <c r="I6029" t="s">
        <v>189</v>
      </c>
      <c r="J6029" t="s">
        <v>816</v>
      </c>
      <c r="K6029" t="s">
        <v>190</v>
      </c>
      <c r="L6029">
        <v>3600013137</v>
      </c>
    </row>
    <row r="6030" spans="3:12">
      <c r="C6030">
        <v>2100300025</v>
      </c>
      <c r="D6030">
        <v>6426000</v>
      </c>
      <c r="E6030" t="s">
        <v>188</v>
      </c>
      <c r="F6030">
        <v>5101020106</v>
      </c>
      <c r="G6030">
        <v>66</v>
      </c>
      <c r="I6030" t="s">
        <v>189</v>
      </c>
      <c r="J6030" t="s">
        <v>816</v>
      </c>
      <c r="K6030" t="s">
        <v>148</v>
      </c>
      <c r="L6030">
        <v>3600013137</v>
      </c>
    </row>
    <row r="6031" spans="3:12">
      <c r="C6031">
        <v>2100300025</v>
      </c>
      <c r="D6031">
        <v>6426000</v>
      </c>
      <c r="E6031" t="s">
        <v>188</v>
      </c>
      <c r="F6031">
        <v>5101010108</v>
      </c>
      <c r="G6031" s="13">
        <v>1293686.25</v>
      </c>
      <c r="I6031" t="s">
        <v>189</v>
      </c>
      <c r="J6031" t="s">
        <v>972</v>
      </c>
      <c r="K6031" t="s">
        <v>51</v>
      </c>
      <c r="L6031">
        <v>3600035117</v>
      </c>
    </row>
    <row r="6032" spans="3:12">
      <c r="C6032">
        <v>2100300025</v>
      </c>
      <c r="D6032">
        <v>6426000</v>
      </c>
      <c r="E6032" t="s">
        <v>188</v>
      </c>
      <c r="F6032">
        <v>5101020114</v>
      </c>
      <c r="G6032" s="13">
        <v>4000</v>
      </c>
      <c r="I6032" t="s">
        <v>189</v>
      </c>
      <c r="J6032" t="s">
        <v>887</v>
      </c>
      <c r="K6032" t="s">
        <v>513</v>
      </c>
      <c r="L6032">
        <v>3600005969</v>
      </c>
    </row>
    <row r="6033" spans="3:12">
      <c r="C6033">
        <v>2100300025</v>
      </c>
      <c r="D6033">
        <v>6426000</v>
      </c>
      <c r="E6033" t="s">
        <v>188</v>
      </c>
      <c r="F6033">
        <v>5101010199</v>
      </c>
      <c r="G6033" s="13">
        <v>52450</v>
      </c>
      <c r="I6033" t="s">
        <v>189</v>
      </c>
      <c r="J6033" t="s">
        <v>889</v>
      </c>
      <c r="K6033" t="s">
        <v>190</v>
      </c>
      <c r="L6033">
        <v>3600007123</v>
      </c>
    </row>
    <row r="6034" spans="3:12">
      <c r="C6034">
        <v>2100300025</v>
      </c>
      <c r="D6034">
        <v>6426000</v>
      </c>
      <c r="E6034" t="s">
        <v>188</v>
      </c>
      <c r="F6034">
        <v>5101020106</v>
      </c>
      <c r="G6034">
        <v>600</v>
      </c>
      <c r="I6034" t="s">
        <v>189</v>
      </c>
      <c r="J6034" t="s">
        <v>889</v>
      </c>
      <c r="K6034" t="s">
        <v>148</v>
      </c>
      <c r="L6034">
        <v>3600007123</v>
      </c>
    </row>
    <row r="6035" spans="3:12">
      <c r="C6035">
        <v>2100300025</v>
      </c>
      <c r="D6035">
        <v>6426000</v>
      </c>
      <c r="E6035" t="s">
        <v>188</v>
      </c>
      <c r="F6035">
        <v>5101010199</v>
      </c>
      <c r="G6035" s="13">
        <v>1275312</v>
      </c>
      <c r="I6035" t="s">
        <v>189</v>
      </c>
      <c r="J6035" t="s">
        <v>890</v>
      </c>
      <c r="K6035" t="s">
        <v>190</v>
      </c>
      <c r="L6035">
        <v>3600007032</v>
      </c>
    </row>
    <row r="6036" spans="3:12">
      <c r="C6036">
        <v>2100300025</v>
      </c>
      <c r="D6036">
        <v>6426000</v>
      </c>
      <c r="E6036" t="s">
        <v>188</v>
      </c>
      <c r="F6036">
        <v>5101020106</v>
      </c>
      <c r="G6036" s="13">
        <v>24289</v>
      </c>
      <c r="I6036" t="s">
        <v>189</v>
      </c>
      <c r="J6036" t="s">
        <v>890</v>
      </c>
      <c r="K6036" t="s">
        <v>148</v>
      </c>
      <c r="L6036">
        <v>3600007032</v>
      </c>
    </row>
    <row r="6037" spans="3:12">
      <c r="C6037">
        <v>2100300025</v>
      </c>
      <c r="D6037">
        <v>6426000</v>
      </c>
      <c r="E6037" t="s">
        <v>188</v>
      </c>
      <c r="F6037">
        <v>5101020112</v>
      </c>
      <c r="G6037" s="13">
        <v>17188.2</v>
      </c>
      <c r="I6037" t="s">
        <v>189</v>
      </c>
      <c r="J6037" t="s">
        <v>890</v>
      </c>
      <c r="K6037" t="s">
        <v>191</v>
      </c>
      <c r="L6037">
        <v>3600007032</v>
      </c>
    </row>
    <row r="6038" spans="3:12">
      <c r="C6038">
        <v>2100300025</v>
      </c>
      <c r="D6038">
        <v>6426000</v>
      </c>
      <c r="E6038" t="s">
        <v>188</v>
      </c>
      <c r="F6038">
        <v>5101010199</v>
      </c>
      <c r="G6038" s="13">
        <v>45750</v>
      </c>
      <c r="I6038" t="s">
        <v>189</v>
      </c>
      <c r="J6038" t="s">
        <v>814</v>
      </c>
      <c r="K6038" t="s">
        <v>190</v>
      </c>
      <c r="L6038">
        <v>3600001279</v>
      </c>
    </row>
    <row r="6039" spans="3:12">
      <c r="C6039">
        <v>2100300025</v>
      </c>
      <c r="D6039">
        <v>6426000</v>
      </c>
      <c r="E6039" t="s">
        <v>188</v>
      </c>
      <c r="F6039">
        <v>5101020106</v>
      </c>
      <c r="G6039">
        <v>600</v>
      </c>
      <c r="I6039" t="s">
        <v>189</v>
      </c>
      <c r="J6039" t="s">
        <v>814</v>
      </c>
      <c r="K6039" t="s">
        <v>148</v>
      </c>
      <c r="L6039">
        <v>3600001279</v>
      </c>
    </row>
    <row r="6040" spans="3:12">
      <c r="C6040">
        <v>2100300025</v>
      </c>
      <c r="D6040">
        <v>6426000</v>
      </c>
      <c r="E6040" t="s">
        <v>188</v>
      </c>
      <c r="F6040">
        <v>5101010199</v>
      </c>
      <c r="G6040" s="13">
        <v>1960</v>
      </c>
      <c r="I6040" t="s">
        <v>189</v>
      </c>
      <c r="J6040" t="s">
        <v>900</v>
      </c>
      <c r="K6040" t="s">
        <v>190</v>
      </c>
      <c r="L6040">
        <v>3600009384</v>
      </c>
    </row>
    <row r="6041" spans="3:12">
      <c r="C6041">
        <v>2100300025</v>
      </c>
      <c r="D6041">
        <v>6426000</v>
      </c>
      <c r="E6041" t="s">
        <v>188</v>
      </c>
      <c r="F6041">
        <v>5101020106</v>
      </c>
      <c r="G6041">
        <v>80</v>
      </c>
      <c r="I6041" t="s">
        <v>189</v>
      </c>
      <c r="J6041" t="s">
        <v>900</v>
      </c>
      <c r="K6041" t="s">
        <v>148</v>
      </c>
      <c r="L6041">
        <v>3600009384</v>
      </c>
    </row>
    <row r="6042" spans="3:12">
      <c r="C6042">
        <v>2100300025</v>
      </c>
      <c r="D6042">
        <v>6426000</v>
      </c>
      <c r="E6042" t="s">
        <v>188</v>
      </c>
      <c r="F6042">
        <v>5101010199</v>
      </c>
      <c r="G6042" s="13">
        <v>1117</v>
      </c>
      <c r="I6042" t="s">
        <v>189</v>
      </c>
      <c r="J6042" t="s">
        <v>903</v>
      </c>
      <c r="K6042" t="s">
        <v>190</v>
      </c>
      <c r="L6042">
        <v>3600014547</v>
      </c>
    </row>
    <row r="6043" spans="3:12">
      <c r="C6043">
        <v>2100300025</v>
      </c>
      <c r="D6043">
        <v>6426000</v>
      </c>
      <c r="E6043" t="s">
        <v>188</v>
      </c>
      <c r="F6043">
        <v>5101020106</v>
      </c>
      <c r="G6043">
        <v>166</v>
      </c>
      <c r="I6043" t="s">
        <v>189</v>
      </c>
      <c r="J6043" t="s">
        <v>903</v>
      </c>
      <c r="K6043" t="s">
        <v>148</v>
      </c>
      <c r="L6043">
        <v>3600014547</v>
      </c>
    </row>
    <row r="6044" spans="3:12">
      <c r="C6044">
        <v>2100300025</v>
      </c>
      <c r="D6044">
        <v>6426000</v>
      </c>
      <c r="E6044" t="s">
        <v>188</v>
      </c>
      <c r="F6044">
        <v>5101010199</v>
      </c>
      <c r="G6044" s="13">
        <v>1270479.68</v>
      </c>
      <c r="I6044" t="s">
        <v>189</v>
      </c>
      <c r="J6044" t="s">
        <v>555</v>
      </c>
      <c r="K6044" t="s">
        <v>190</v>
      </c>
      <c r="L6044">
        <v>3600015560</v>
      </c>
    </row>
    <row r="6045" spans="3:12">
      <c r="C6045">
        <v>2100300025</v>
      </c>
      <c r="D6045">
        <v>6426000</v>
      </c>
      <c r="E6045" t="s">
        <v>188</v>
      </c>
      <c r="F6045">
        <v>5101020106</v>
      </c>
      <c r="G6045" s="13">
        <v>36266</v>
      </c>
      <c r="I6045" t="s">
        <v>189</v>
      </c>
      <c r="J6045" t="s">
        <v>555</v>
      </c>
      <c r="K6045" t="s">
        <v>148</v>
      </c>
      <c r="L6045">
        <v>3600015560</v>
      </c>
    </row>
    <row r="6046" spans="3:12">
      <c r="C6046">
        <v>2100300025</v>
      </c>
      <c r="D6046">
        <v>6426000</v>
      </c>
      <c r="E6046" t="s">
        <v>188</v>
      </c>
      <c r="F6046">
        <v>5101020112</v>
      </c>
      <c r="G6046" s="13">
        <v>17188.2</v>
      </c>
      <c r="I6046" t="s">
        <v>189</v>
      </c>
      <c r="J6046" t="s">
        <v>555</v>
      </c>
      <c r="K6046" t="s">
        <v>191</v>
      </c>
      <c r="L6046">
        <v>3600015560</v>
      </c>
    </row>
    <row r="6047" spans="3:12">
      <c r="C6047">
        <v>2100300025</v>
      </c>
      <c r="D6047">
        <v>6426000</v>
      </c>
      <c r="E6047" t="s">
        <v>188</v>
      </c>
      <c r="F6047">
        <v>5101010199</v>
      </c>
      <c r="G6047" s="13">
        <v>6000</v>
      </c>
      <c r="I6047" t="s">
        <v>189</v>
      </c>
      <c r="J6047" t="s">
        <v>905</v>
      </c>
      <c r="K6047" t="s">
        <v>190</v>
      </c>
      <c r="L6047">
        <v>3600015064</v>
      </c>
    </row>
    <row r="6048" spans="3:12">
      <c r="C6048">
        <v>2100300025</v>
      </c>
      <c r="D6048">
        <v>6426000</v>
      </c>
      <c r="E6048" t="s">
        <v>188</v>
      </c>
      <c r="F6048">
        <v>5101010199</v>
      </c>
      <c r="G6048" s="13">
        <v>53200</v>
      </c>
      <c r="I6048" t="s">
        <v>189</v>
      </c>
      <c r="J6048" t="s">
        <v>906</v>
      </c>
      <c r="K6048" t="s">
        <v>190</v>
      </c>
      <c r="L6048">
        <v>3600014015</v>
      </c>
    </row>
    <row r="6049" spans="3:12">
      <c r="C6049">
        <v>2100300025</v>
      </c>
      <c r="D6049">
        <v>6426000</v>
      </c>
      <c r="E6049" t="s">
        <v>188</v>
      </c>
      <c r="F6049">
        <v>5101020106</v>
      </c>
      <c r="G6049">
        <v>750</v>
      </c>
      <c r="I6049" t="s">
        <v>189</v>
      </c>
      <c r="J6049" t="s">
        <v>906</v>
      </c>
      <c r="K6049" t="s">
        <v>148</v>
      </c>
      <c r="L6049">
        <v>3600014015</v>
      </c>
    </row>
    <row r="6050" spans="3:12">
      <c r="C6050">
        <v>2100300025</v>
      </c>
      <c r="D6050">
        <v>6426000</v>
      </c>
      <c r="E6050" t="s">
        <v>188</v>
      </c>
      <c r="F6050">
        <v>5101010199</v>
      </c>
      <c r="G6050" s="13">
        <v>5000</v>
      </c>
      <c r="I6050" t="s">
        <v>189</v>
      </c>
      <c r="J6050" t="s">
        <v>916</v>
      </c>
      <c r="K6050" t="s">
        <v>190</v>
      </c>
      <c r="L6050">
        <v>3600017400</v>
      </c>
    </row>
    <row r="6051" spans="3:12">
      <c r="C6051">
        <v>2100300025</v>
      </c>
      <c r="D6051">
        <v>6426000</v>
      </c>
      <c r="E6051" t="s">
        <v>188</v>
      </c>
      <c r="F6051">
        <v>5101010199</v>
      </c>
      <c r="G6051" s="13">
        <v>56000</v>
      </c>
      <c r="I6051" t="s">
        <v>189</v>
      </c>
      <c r="J6051" t="s">
        <v>823</v>
      </c>
      <c r="K6051" t="s">
        <v>190</v>
      </c>
      <c r="L6051">
        <v>3600017542</v>
      </c>
    </row>
    <row r="6052" spans="3:12">
      <c r="C6052">
        <v>2100300025</v>
      </c>
      <c r="D6052">
        <v>6426000</v>
      </c>
      <c r="E6052" t="s">
        <v>188</v>
      </c>
      <c r="F6052">
        <v>5101020106</v>
      </c>
      <c r="G6052">
        <v>450</v>
      </c>
      <c r="I6052" t="s">
        <v>189</v>
      </c>
      <c r="J6052" t="s">
        <v>823</v>
      </c>
      <c r="K6052" t="s">
        <v>148</v>
      </c>
      <c r="L6052">
        <v>3600017542</v>
      </c>
    </row>
    <row r="6053" spans="3:12">
      <c r="C6053">
        <v>2100300025</v>
      </c>
      <c r="D6053">
        <v>6426000</v>
      </c>
      <c r="E6053" t="s">
        <v>188</v>
      </c>
      <c r="F6053">
        <v>5101010199</v>
      </c>
      <c r="G6053">
        <v>800</v>
      </c>
      <c r="I6053" t="s">
        <v>189</v>
      </c>
      <c r="J6053" t="s">
        <v>920</v>
      </c>
      <c r="K6053" t="s">
        <v>190</v>
      </c>
      <c r="L6053">
        <v>3600018033</v>
      </c>
    </row>
    <row r="6054" spans="3:12">
      <c r="C6054">
        <v>2100300025</v>
      </c>
      <c r="D6054">
        <v>6426000</v>
      </c>
      <c r="E6054" t="s">
        <v>188</v>
      </c>
      <c r="F6054">
        <v>5101020106</v>
      </c>
      <c r="G6054">
        <v>50</v>
      </c>
      <c r="I6054" t="s">
        <v>189</v>
      </c>
      <c r="J6054" t="s">
        <v>920</v>
      </c>
      <c r="K6054" t="s">
        <v>148</v>
      </c>
      <c r="L6054">
        <v>3600018033</v>
      </c>
    </row>
    <row r="6055" spans="3:12">
      <c r="C6055">
        <v>2100300025</v>
      </c>
      <c r="D6055">
        <v>6426000</v>
      </c>
      <c r="E6055" t="s">
        <v>188</v>
      </c>
      <c r="F6055">
        <v>5101010199</v>
      </c>
      <c r="G6055" s="13">
        <v>1273500</v>
      </c>
      <c r="I6055" t="s">
        <v>189</v>
      </c>
      <c r="J6055" t="s">
        <v>923</v>
      </c>
      <c r="K6055" t="s">
        <v>190</v>
      </c>
      <c r="L6055">
        <v>3600017697</v>
      </c>
    </row>
    <row r="6056" spans="3:12">
      <c r="C6056">
        <v>2100300025</v>
      </c>
      <c r="D6056">
        <v>6426000</v>
      </c>
      <c r="E6056" t="s">
        <v>188</v>
      </c>
      <c r="F6056">
        <v>5101020106</v>
      </c>
      <c r="G6056" s="13">
        <v>36350</v>
      </c>
      <c r="I6056" t="s">
        <v>189</v>
      </c>
      <c r="J6056" t="s">
        <v>923</v>
      </c>
      <c r="K6056" t="s">
        <v>148</v>
      </c>
      <c r="L6056">
        <v>3600017697</v>
      </c>
    </row>
    <row r="6057" spans="3:12">
      <c r="C6057">
        <v>2100300025</v>
      </c>
      <c r="D6057">
        <v>6426000</v>
      </c>
      <c r="E6057" t="s">
        <v>188</v>
      </c>
      <c r="F6057">
        <v>5101020112</v>
      </c>
      <c r="G6057" s="13">
        <v>17685.8</v>
      </c>
      <c r="I6057" t="s">
        <v>189</v>
      </c>
      <c r="J6057" t="s">
        <v>923</v>
      </c>
      <c r="K6057" t="s">
        <v>191</v>
      </c>
      <c r="L6057">
        <v>3600017697</v>
      </c>
    </row>
    <row r="6058" spans="3:12">
      <c r="C6058">
        <v>2100300025</v>
      </c>
      <c r="D6058">
        <v>6426000</v>
      </c>
      <c r="E6058" t="s">
        <v>188</v>
      </c>
      <c r="F6058">
        <v>5101010199</v>
      </c>
      <c r="G6058">
        <v>400</v>
      </c>
      <c r="I6058" t="s">
        <v>189</v>
      </c>
      <c r="J6058" t="s">
        <v>927</v>
      </c>
      <c r="K6058" t="s">
        <v>190</v>
      </c>
      <c r="L6058">
        <v>3600020274</v>
      </c>
    </row>
    <row r="6059" spans="3:12">
      <c r="C6059">
        <v>2100300025</v>
      </c>
      <c r="D6059">
        <v>6426000</v>
      </c>
      <c r="E6059" t="s">
        <v>188</v>
      </c>
      <c r="F6059">
        <v>5101020106</v>
      </c>
      <c r="G6059">
        <v>50</v>
      </c>
      <c r="I6059" t="s">
        <v>189</v>
      </c>
      <c r="J6059" t="s">
        <v>927</v>
      </c>
      <c r="K6059" t="s">
        <v>148</v>
      </c>
      <c r="L6059">
        <v>3600020274</v>
      </c>
    </row>
    <row r="6060" spans="3:12">
      <c r="C6060">
        <v>2100300025</v>
      </c>
      <c r="D6060">
        <v>6426000</v>
      </c>
      <c r="E6060" t="s">
        <v>188</v>
      </c>
      <c r="F6060">
        <v>5101010199</v>
      </c>
      <c r="G6060" s="13">
        <v>39400</v>
      </c>
      <c r="I6060" t="s">
        <v>189</v>
      </c>
      <c r="J6060" t="s">
        <v>927</v>
      </c>
      <c r="K6060" t="s">
        <v>190</v>
      </c>
      <c r="L6060">
        <v>3600020163</v>
      </c>
    </row>
    <row r="6061" spans="3:12">
      <c r="C6061">
        <v>2100300025</v>
      </c>
      <c r="D6061">
        <v>6426000</v>
      </c>
      <c r="E6061" t="s">
        <v>188</v>
      </c>
      <c r="F6061">
        <v>5101020106</v>
      </c>
      <c r="G6061">
        <v>450</v>
      </c>
      <c r="I6061" t="s">
        <v>189</v>
      </c>
      <c r="J6061" t="s">
        <v>927</v>
      </c>
      <c r="K6061" t="s">
        <v>148</v>
      </c>
      <c r="L6061">
        <v>3600020163</v>
      </c>
    </row>
    <row r="6062" spans="3:12">
      <c r="C6062">
        <v>2100300025</v>
      </c>
      <c r="D6062">
        <v>6426000</v>
      </c>
      <c r="E6062" t="s">
        <v>188</v>
      </c>
      <c r="F6062">
        <v>5101010199</v>
      </c>
      <c r="G6062" s="13">
        <v>1273754.67</v>
      </c>
      <c r="I6062" t="s">
        <v>189</v>
      </c>
      <c r="J6062" t="s">
        <v>931</v>
      </c>
      <c r="K6062" t="s">
        <v>190</v>
      </c>
      <c r="L6062">
        <v>3600024762</v>
      </c>
    </row>
    <row r="6063" spans="3:12">
      <c r="C6063">
        <v>2100300025</v>
      </c>
      <c r="D6063">
        <v>6426000</v>
      </c>
      <c r="E6063" t="s">
        <v>188</v>
      </c>
      <c r="F6063">
        <v>5101020106</v>
      </c>
      <c r="G6063" s="13">
        <v>60878</v>
      </c>
      <c r="I6063" t="s">
        <v>189</v>
      </c>
      <c r="J6063" t="s">
        <v>931</v>
      </c>
      <c r="K6063" t="s">
        <v>148</v>
      </c>
      <c r="L6063">
        <v>3600024762</v>
      </c>
    </row>
    <row r="6064" spans="3:12">
      <c r="C6064">
        <v>2100300025</v>
      </c>
      <c r="D6064">
        <v>6426000</v>
      </c>
      <c r="E6064" t="s">
        <v>188</v>
      </c>
      <c r="F6064">
        <v>5101020112</v>
      </c>
      <c r="G6064" s="13">
        <v>17373.09</v>
      </c>
      <c r="I6064" t="s">
        <v>189</v>
      </c>
      <c r="J6064" t="s">
        <v>931</v>
      </c>
      <c r="K6064" t="s">
        <v>191</v>
      </c>
      <c r="L6064">
        <v>3600024762</v>
      </c>
    </row>
    <row r="6065" spans="3:12">
      <c r="C6065">
        <v>2100300025</v>
      </c>
      <c r="D6065">
        <v>6426000</v>
      </c>
      <c r="E6065" t="s">
        <v>188</v>
      </c>
      <c r="F6065">
        <v>5101010199</v>
      </c>
      <c r="G6065" s="13">
        <v>61600</v>
      </c>
      <c r="I6065" t="s">
        <v>189</v>
      </c>
      <c r="J6065" t="s">
        <v>836</v>
      </c>
      <c r="K6065" t="s">
        <v>190</v>
      </c>
      <c r="L6065">
        <v>3600024339</v>
      </c>
    </row>
    <row r="6066" spans="3:12">
      <c r="C6066">
        <v>2100300025</v>
      </c>
      <c r="D6066">
        <v>6426000</v>
      </c>
      <c r="E6066" t="s">
        <v>188</v>
      </c>
      <c r="F6066">
        <v>5101020106</v>
      </c>
      <c r="G6066">
        <v>450</v>
      </c>
      <c r="I6066" t="s">
        <v>189</v>
      </c>
      <c r="J6066" t="s">
        <v>836</v>
      </c>
      <c r="K6066" t="s">
        <v>148</v>
      </c>
      <c r="L6066">
        <v>3600024339</v>
      </c>
    </row>
    <row r="6067" spans="3:12">
      <c r="C6067">
        <v>2100300025</v>
      </c>
      <c r="D6067">
        <v>6426000</v>
      </c>
      <c r="E6067" t="s">
        <v>188</v>
      </c>
      <c r="F6067">
        <v>5101010199</v>
      </c>
      <c r="G6067" s="13">
        <v>36500</v>
      </c>
      <c r="I6067" t="s">
        <v>189</v>
      </c>
      <c r="J6067" t="s">
        <v>942</v>
      </c>
      <c r="K6067" t="s">
        <v>190</v>
      </c>
      <c r="L6067">
        <v>3600027040</v>
      </c>
    </row>
    <row r="6068" spans="3:12">
      <c r="C6068">
        <v>2100300025</v>
      </c>
      <c r="D6068">
        <v>6426000</v>
      </c>
      <c r="E6068" t="s">
        <v>188</v>
      </c>
      <c r="F6068">
        <v>5101020106</v>
      </c>
      <c r="G6068">
        <v>750</v>
      </c>
      <c r="I6068" t="s">
        <v>189</v>
      </c>
      <c r="J6068" t="s">
        <v>942</v>
      </c>
      <c r="K6068" t="s">
        <v>148</v>
      </c>
      <c r="L6068">
        <v>3600027040</v>
      </c>
    </row>
    <row r="6069" spans="3:12">
      <c r="C6069">
        <v>2100300025</v>
      </c>
      <c r="D6069">
        <v>6426000</v>
      </c>
      <c r="E6069" t="s">
        <v>188</v>
      </c>
      <c r="F6069">
        <v>5101010199</v>
      </c>
      <c r="G6069" s="13">
        <v>1256286</v>
      </c>
      <c r="I6069" t="s">
        <v>189</v>
      </c>
      <c r="J6069" t="s">
        <v>946</v>
      </c>
      <c r="K6069" t="s">
        <v>190</v>
      </c>
      <c r="L6069">
        <v>3600029670</v>
      </c>
    </row>
    <row r="6070" spans="3:12">
      <c r="C6070">
        <v>2100300025</v>
      </c>
      <c r="D6070">
        <v>6426000</v>
      </c>
      <c r="E6070" t="s">
        <v>188</v>
      </c>
      <c r="F6070">
        <v>5101020106</v>
      </c>
      <c r="G6070" s="13">
        <v>60032</v>
      </c>
      <c r="I6070" t="s">
        <v>189</v>
      </c>
      <c r="J6070" t="s">
        <v>946</v>
      </c>
      <c r="K6070" t="s">
        <v>148</v>
      </c>
      <c r="L6070">
        <v>3600029670</v>
      </c>
    </row>
    <row r="6071" spans="3:12">
      <c r="C6071">
        <v>2100300025</v>
      </c>
      <c r="D6071">
        <v>6426000</v>
      </c>
      <c r="E6071" t="s">
        <v>188</v>
      </c>
      <c r="F6071">
        <v>5101020112</v>
      </c>
      <c r="G6071" s="13">
        <v>17201.52</v>
      </c>
      <c r="I6071" t="s">
        <v>189</v>
      </c>
      <c r="J6071" t="s">
        <v>946</v>
      </c>
      <c r="K6071" t="s">
        <v>191</v>
      </c>
      <c r="L6071">
        <v>3600029670</v>
      </c>
    </row>
    <row r="6072" spans="3:12">
      <c r="C6072">
        <v>2100300025</v>
      </c>
      <c r="D6072">
        <v>6426000</v>
      </c>
      <c r="E6072" t="s">
        <v>188</v>
      </c>
      <c r="F6072">
        <v>5101010199</v>
      </c>
      <c r="G6072" s="13">
        <v>1256286</v>
      </c>
      <c r="I6072" t="s">
        <v>189</v>
      </c>
      <c r="J6072" t="s">
        <v>559</v>
      </c>
      <c r="K6072" t="s">
        <v>190</v>
      </c>
      <c r="L6072">
        <v>3600029766</v>
      </c>
    </row>
    <row r="6073" spans="3:12">
      <c r="C6073">
        <v>2100300025</v>
      </c>
      <c r="D6073">
        <v>6426000</v>
      </c>
      <c r="E6073" t="s">
        <v>188</v>
      </c>
      <c r="F6073">
        <v>5101020106</v>
      </c>
      <c r="G6073" s="13">
        <v>30016</v>
      </c>
      <c r="I6073" t="s">
        <v>189</v>
      </c>
      <c r="J6073" t="s">
        <v>559</v>
      </c>
      <c r="K6073" t="s">
        <v>148</v>
      </c>
      <c r="L6073">
        <v>3600029766</v>
      </c>
    </row>
    <row r="6074" spans="3:12">
      <c r="C6074">
        <v>2100300025</v>
      </c>
      <c r="D6074">
        <v>6426000</v>
      </c>
      <c r="E6074" t="s">
        <v>188</v>
      </c>
      <c r="F6074">
        <v>5101020112</v>
      </c>
      <c r="G6074" s="13">
        <v>17201.52</v>
      </c>
      <c r="I6074" t="s">
        <v>189</v>
      </c>
      <c r="J6074" t="s">
        <v>559</v>
      </c>
      <c r="K6074" t="s">
        <v>191</v>
      </c>
      <c r="L6074">
        <v>3600029766</v>
      </c>
    </row>
    <row r="6075" spans="3:12">
      <c r="C6075">
        <v>2100300025</v>
      </c>
      <c r="D6075">
        <v>6426000</v>
      </c>
      <c r="E6075" t="s">
        <v>188</v>
      </c>
      <c r="F6075">
        <v>5101010199</v>
      </c>
      <c r="G6075" s="13">
        <v>49650</v>
      </c>
      <c r="I6075" t="s">
        <v>189</v>
      </c>
      <c r="J6075" t="s">
        <v>950</v>
      </c>
      <c r="K6075" t="s">
        <v>190</v>
      </c>
      <c r="L6075">
        <v>3600029612</v>
      </c>
    </row>
    <row r="6076" spans="3:12">
      <c r="C6076">
        <v>2100300025</v>
      </c>
      <c r="D6076">
        <v>6426000</v>
      </c>
      <c r="E6076" t="s">
        <v>188</v>
      </c>
      <c r="F6076">
        <v>5101020106</v>
      </c>
      <c r="G6076" s="13">
        <v>1500</v>
      </c>
      <c r="I6076" t="s">
        <v>189</v>
      </c>
      <c r="J6076" t="s">
        <v>950</v>
      </c>
      <c r="K6076" t="s">
        <v>148</v>
      </c>
      <c r="L6076">
        <v>3600029612</v>
      </c>
    </row>
    <row r="6077" spans="3:12">
      <c r="C6077">
        <v>2100300025</v>
      </c>
      <c r="D6077">
        <v>6426000</v>
      </c>
      <c r="E6077" t="s">
        <v>188</v>
      </c>
      <c r="F6077">
        <v>5101010199</v>
      </c>
      <c r="G6077" s="13">
        <v>58800</v>
      </c>
      <c r="I6077" t="s">
        <v>189</v>
      </c>
      <c r="J6077" t="s">
        <v>855</v>
      </c>
      <c r="K6077" t="s">
        <v>190</v>
      </c>
      <c r="L6077">
        <v>3600032152</v>
      </c>
    </row>
    <row r="6078" spans="3:12">
      <c r="C6078">
        <v>2100300025</v>
      </c>
      <c r="D6078">
        <v>6426000</v>
      </c>
      <c r="E6078" t="s">
        <v>188</v>
      </c>
      <c r="F6078">
        <v>5101020106</v>
      </c>
      <c r="G6078">
        <v>375</v>
      </c>
      <c r="I6078" t="s">
        <v>189</v>
      </c>
      <c r="J6078" t="s">
        <v>855</v>
      </c>
      <c r="K6078" t="s">
        <v>148</v>
      </c>
      <c r="L6078">
        <v>3600032152</v>
      </c>
    </row>
    <row r="6079" spans="3:12">
      <c r="C6079">
        <v>2100300025</v>
      </c>
      <c r="D6079">
        <v>6426000</v>
      </c>
      <c r="E6079" t="s">
        <v>188</v>
      </c>
      <c r="F6079">
        <v>5101010199</v>
      </c>
      <c r="G6079" s="13">
        <v>56000</v>
      </c>
      <c r="I6079" t="s">
        <v>189</v>
      </c>
      <c r="J6079" t="s">
        <v>860</v>
      </c>
      <c r="K6079" t="s">
        <v>190</v>
      </c>
      <c r="L6079">
        <v>3600034716</v>
      </c>
    </row>
    <row r="6080" spans="3:12">
      <c r="C6080">
        <v>2100300025</v>
      </c>
      <c r="D6080">
        <v>6426000</v>
      </c>
      <c r="E6080" t="s">
        <v>188</v>
      </c>
      <c r="F6080">
        <v>5101020106</v>
      </c>
      <c r="G6080">
        <v>375</v>
      </c>
      <c r="I6080" t="s">
        <v>189</v>
      </c>
      <c r="J6080" t="s">
        <v>860</v>
      </c>
      <c r="K6080" t="s">
        <v>148</v>
      </c>
      <c r="L6080">
        <v>3600034716</v>
      </c>
    </row>
    <row r="6081" spans="3:12">
      <c r="C6081">
        <v>2100300025</v>
      </c>
      <c r="D6081">
        <v>6426000</v>
      </c>
      <c r="E6081" t="s">
        <v>188</v>
      </c>
      <c r="F6081">
        <v>5101010199</v>
      </c>
      <c r="G6081" s="13">
        <v>1232232.58</v>
      </c>
      <c r="I6081" t="s">
        <v>189</v>
      </c>
      <c r="J6081" t="s">
        <v>861</v>
      </c>
      <c r="K6081" t="s">
        <v>190</v>
      </c>
      <c r="L6081">
        <v>3600023483</v>
      </c>
    </row>
    <row r="6082" spans="3:12">
      <c r="C6082">
        <v>2100300025</v>
      </c>
      <c r="D6082">
        <v>6426000</v>
      </c>
      <c r="E6082" t="s">
        <v>188</v>
      </c>
      <c r="F6082">
        <v>5101020106</v>
      </c>
      <c r="G6082" s="13">
        <v>29415</v>
      </c>
      <c r="I6082" t="s">
        <v>189</v>
      </c>
      <c r="J6082" t="s">
        <v>861</v>
      </c>
      <c r="K6082" t="s">
        <v>148</v>
      </c>
      <c r="L6082">
        <v>3600023483</v>
      </c>
    </row>
    <row r="6083" spans="3:12">
      <c r="C6083">
        <v>2100300025</v>
      </c>
      <c r="D6083">
        <v>6426000</v>
      </c>
      <c r="E6083" t="s">
        <v>188</v>
      </c>
      <c r="F6083">
        <v>5101020112</v>
      </c>
      <c r="G6083" s="13">
        <v>16867.009999999998</v>
      </c>
      <c r="I6083" t="s">
        <v>189</v>
      </c>
      <c r="J6083" t="s">
        <v>861</v>
      </c>
      <c r="K6083" t="s">
        <v>191</v>
      </c>
      <c r="L6083">
        <v>3600023483</v>
      </c>
    </row>
    <row r="6084" spans="3:12">
      <c r="C6084">
        <v>2100300025</v>
      </c>
      <c r="D6084">
        <v>6426000</v>
      </c>
      <c r="E6084" t="s">
        <v>188</v>
      </c>
      <c r="F6084">
        <v>5101010199</v>
      </c>
      <c r="G6084" s="13">
        <v>1239020</v>
      </c>
      <c r="I6084" t="s">
        <v>189</v>
      </c>
      <c r="J6084" t="s">
        <v>863</v>
      </c>
      <c r="K6084" t="s">
        <v>190</v>
      </c>
      <c r="L6084">
        <v>3600041088</v>
      </c>
    </row>
    <row r="6085" spans="3:12">
      <c r="C6085">
        <v>2100300025</v>
      </c>
      <c r="D6085">
        <v>6426000</v>
      </c>
      <c r="E6085" t="s">
        <v>188</v>
      </c>
      <c r="F6085">
        <v>5101020106</v>
      </c>
      <c r="G6085" s="13">
        <v>29604</v>
      </c>
      <c r="I6085" t="s">
        <v>189</v>
      </c>
      <c r="J6085" t="s">
        <v>863</v>
      </c>
      <c r="K6085" t="s">
        <v>148</v>
      </c>
      <c r="L6085">
        <v>3600041088</v>
      </c>
    </row>
    <row r="6086" spans="3:12">
      <c r="C6086">
        <v>2100300025</v>
      </c>
      <c r="D6086">
        <v>6426000</v>
      </c>
      <c r="E6086" t="s">
        <v>188</v>
      </c>
      <c r="F6086">
        <v>5101020112</v>
      </c>
      <c r="G6086" s="13">
        <v>16723.599999999999</v>
      </c>
      <c r="I6086" t="s">
        <v>189</v>
      </c>
      <c r="J6086" t="s">
        <v>863</v>
      </c>
      <c r="K6086" t="s">
        <v>191</v>
      </c>
      <c r="L6086">
        <v>3600041088</v>
      </c>
    </row>
    <row r="6087" spans="3:12">
      <c r="C6087">
        <v>2100300025</v>
      </c>
      <c r="D6087">
        <v>6426000</v>
      </c>
      <c r="E6087" t="s">
        <v>188</v>
      </c>
      <c r="F6087">
        <v>5101020114</v>
      </c>
      <c r="G6087" s="13">
        <v>6000</v>
      </c>
      <c r="I6087" t="s">
        <v>189</v>
      </c>
      <c r="J6087" t="s">
        <v>880</v>
      </c>
      <c r="K6087" t="s">
        <v>513</v>
      </c>
      <c r="L6087">
        <v>3600000725</v>
      </c>
    </row>
    <row r="6088" spans="3:12">
      <c r="C6088">
        <v>2100300025</v>
      </c>
      <c r="D6088">
        <v>6426000</v>
      </c>
      <c r="E6088" t="s">
        <v>188</v>
      </c>
      <c r="F6088">
        <v>5101020114</v>
      </c>
      <c r="G6088" s="13">
        <v>4000</v>
      </c>
      <c r="I6088" t="s">
        <v>189</v>
      </c>
      <c r="J6088" t="s">
        <v>880</v>
      </c>
      <c r="K6088" t="s">
        <v>513</v>
      </c>
      <c r="L6088">
        <v>3600000048</v>
      </c>
    </row>
    <row r="6089" spans="3:12">
      <c r="C6089">
        <v>2100300025</v>
      </c>
      <c r="D6089">
        <v>6426000</v>
      </c>
      <c r="E6089" t="s">
        <v>188</v>
      </c>
      <c r="F6089">
        <v>5101020114</v>
      </c>
      <c r="G6089" s="13">
        <v>6050</v>
      </c>
      <c r="I6089" t="s">
        <v>189</v>
      </c>
      <c r="J6089" t="s">
        <v>897</v>
      </c>
      <c r="K6089" t="s">
        <v>513</v>
      </c>
      <c r="L6089">
        <v>3600010596</v>
      </c>
    </row>
    <row r="6090" spans="3:12">
      <c r="C6090">
        <v>2100300025</v>
      </c>
      <c r="D6090">
        <v>6426000</v>
      </c>
      <c r="E6090" t="s">
        <v>188</v>
      </c>
      <c r="F6090">
        <v>5101020114</v>
      </c>
      <c r="G6090" s="13">
        <v>4000</v>
      </c>
      <c r="I6090" t="s">
        <v>189</v>
      </c>
      <c r="J6090" t="s">
        <v>900</v>
      </c>
      <c r="K6090" t="s">
        <v>513</v>
      </c>
      <c r="L6090">
        <v>3600008897</v>
      </c>
    </row>
    <row r="6091" spans="3:12">
      <c r="C6091">
        <v>2100300025</v>
      </c>
      <c r="D6091">
        <v>6426000</v>
      </c>
      <c r="E6091" t="s">
        <v>188</v>
      </c>
      <c r="F6091">
        <v>5101020114</v>
      </c>
      <c r="G6091" s="13">
        <v>6000</v>
      </c>
      <c r="I6091" t="s">
        <v>189</v>
      </c>
      <c r="J6091" t="s">
        <v>822</v>
      </c>
      <c r="K6091" t="s">
        <v>513</v>
      </c>
      <c r="L6091">
        <v>3600014929</v>
      </c>
    </row>
    <row r="6092" spans="3:12">
      <c r="C6092">
        <v>2100300025</v>
      </c>
      <c r="D6092">
        <v>6426000</v>
      </c>
      <c r="E6092" t="s">
        <v>188</v>
      </c>
      <c r="F6092">
        <v>5101020114</v>
      </c>
      <c r="G6092" s="13">
        <v>4000</v>
      </c>
      <c r="I6092" t="s">
        <v>189</v>
      </c>
      <c r="J6092" t="s">
        <v>822</v>
      </c>
      <c r="K6092" t="s">
        <v>513</v>
      </c>
      <c r="L6092">
        <v>3600015003</v>
      </c>
    </row>
    <row r="6093" spans="3:12">
      <c r="C6093">
        <v>2100300025</v>
      </c>
      <c r="D6093">
        <v>6426000</v>
      </c>
      <c r="E6093" t="s">
        <v>188</v>
      </c>
      <c r="F6093">
        <v>5101020114</v>
      </c>
      <c r="G6093" s="13">
        <v>136853.22</v>
      </c>
      <c r="I6093" t="s">
        <v>189</v>
      </c>
      <c r="J6093" t="s">
        <v>915</v>
      </c>
      <c r="K6093" t="s">
        <v>513</v>
      </c>
      <c r="L6093">
        <v>3600018193</v>
      </c>
    </row>
    <row r="6094" spans="3:12">
      <c r="C6094">
        <v>2100300025</v>
      </c>
      <c r="D6094">
        <v>6426000</v>
      </c>
      <c r="E6094" t="s">
        <v>188</v>
      </c>
      <c r="F6094">
        <v>5101020114</v>
      </c>
      <c r="G6094" s="13">
        <v>4000</v>
      </c>
      <c r="I6094" t="s">
        <v>189</v>
      </c>
      <c r="J6094" t="s">
        <v>920</v>
      </c>
      <c r="K6094" t="s">
        <v>513</v>
      </c>
      <c r="L6094">
        <v>3600017793</v>
      </c>
    </row>
    <row r="6095" spans="3:12">
      <c r="C6095">
        <v>2100300025</v>
      </c>
      <c r="D6095">
        <v>6426000</v>
      </c>
      <c r="E6095" t="s">
        <v>188</v>
      </c>
      <c r="F6095">
        <v>5101020114</v>
      </c>
      <c r="G6095" s="13">
        <v>6000</v>
      </c>
      <c r="I6095" t="s">
        <v>189</v>
      </c>
      <c r="J6095" t="s">
        <v>920</v>
      </c>
      <c r="K6095" t="s">
        <v>513</v>
      </c>
      <c r="L6095">
        <v>3600017794</v>
      </c>
    </row>
    <row r="6096" spans="3:12">
      <c r="C6096">
        <v>2100300025</v>
      </c>
      <c r="D6096">
        <v>6426000</v>
      </c>
      <c r="E6096" t="s">
        <v>188</v>
      </c>
      <c r="F6096">
        <v>5101020114</v>
      </c>
      <c r="G6096" s="13">
        <v>6000</v>
      </c>
      <c r="I6096" t="s">
        <v>189</v>
      </c>
      <c r="J6096" t="s">
        <v>928</v>
      </c>
      <c r="K6096" t="s">
        <v>513</v>
      </c>
      <c r="L6096">
        <v>3600021251</v>
      </c>
    </row>
    <row r="6097" spans="3:12">
      <c r="C6097">
        <v>2100300025</v>
      </c>
      <c r="D6097">
        <v>6426000</v>
      </c>
      <c r="E6097" t="s">
        <v>188</v>
      </c>
      <c r="F6097">
        <v>5101020114</v>
      </c>
      <c r="G6097" s="13">
        <v>4000</v>
      </c>
      <c r="I6097" t="s">
        <v>189</v>
      </c>
      <c r="J6097" t="s">
        <v>928</v>
      </c>
      <c r="K6097" t="s">
        <v>513</v>
      </c>
      <c r="L6097">
        <v>3600021311</v>
      </c>
    </row>
    <row r="6098" spans="3:12">
      <c r="C6098">
        <v>2100300025</v>
      </c>
      <c r="D6098">
        <v>6426000</v>
      </c>
      <c r="E6098" t="s">
        <v>188</v>
      </c>
      <c r="F6098">
        <v>5101020114</v>
      </c>
      <c r="G6098" s="13">
        <v>382500</v>
      </c>
      <c r="I6098" t="s">
        <v>189</v>
      </c>
      <c r="J6098" t="s">
        <v>928</v>
      </c>
      <c r="K6098" t="s">
        <v>513</v>
      </c>
      <c r="L6098">
        <v>3600021312</v>
      </c>
    </row>
    <row r="6099" spans="3:12">
      <c r="C6099">
        <v>2100300025</v>
      </c>
      <c r="D6099">
        <v>6426000</v>
      </c>
      <c r="E6099" t="s">
        <v>188</v>
      </c>
      <c r="F6099">
        <v>5101020114</v>
      </c>
      <c r="G6099" s="13">
        <v>6000</v>
      </c>
      <c r="I6099" t="s">
        <v>189</v>
      </c>
      <c r="J6099" t="s">
        <v>931</v>
      </c>
      <c r="K6099" t="s">
        <v>513</v>
      </c>
      <c r="L6099">
        <v>3600025628</v>
      </c>
    </row>
    <row r="6100" spans="3:12">
      <c r="C6100">
        <v>2100300025</v>
      </c>
      <c r="D6100">
        <v>6426000</v>
      </c>
      <c r="E6100" t="s">
        <v>188</v>
      </c>
      <c r="F6100">
        <v>5101020114</v>
      </c>
      <c r="G6100" s="13">
        <v>4000</v>
      </c>
      <c r="I6100" t="s">
        <v>189</v>
      </c>
      <c r="J6100" t="s">
        <v>931</v>
      </c>
      <c r="K6100" t="s">
        <v>513</v>
      </c>
      <c r="L6100">
        <v>3600024761</v>
      </c>
    </row>
    <row r="6101" spans="3:12">
      <c r="C6101">
        <v>2100300025</v>
      </c>
      <c r="D6101">
        <v>6426000</v>
      </c>
      <c r="E6101" t="s">
        <v>188</v>
      </c>
      <c r="F6101">
        <v>5101020114</v>
      </c>
      <c r="G6101" s="13">
        <v>3800</v>
      </c>
      <c r="I6101" t="s">
        <v>189</v>
      </c>
      <c r="J6101" t="s">
        <v>561</v>
      </c>
      <c r="K6101" t="s">
        <v>513</v>
      </c>
      <c r="L6101">
        <v>3600023655</v>
      </c>
    </row>
    <row r="6102" spans="3:12">
      <c r="C6102">
        <v>2100300025</v>
      </c>
      <c r="D6102">
        <v>6426000</v>
      </c>
      <c r="E6102" t="s">
        <v>188</v>
      </c>
      <c r="F6102">
        <v>5101020114</v>
      </c>
      <c r="G6102" s="13">
        <v>3000</v>
      </c>
      <c r="I6102" t="s">
        <v>189</v>
      </c>
      <c r="J6102" t="s">
        <v>947</v>
      </c>
      <c r="K6102" t="s">
        <v>513</v>
      </c>
      <c r="L6102">
        <v>3600028988</v>
      </c>
    </row>
    <row r="6103" spans="3:12">
      <c r="C6103">
        <v>2100300025</v>
      </c>
      <c r="D6103">
        <v>6426000</v>
      </c>
      <c r="E6103" t="s">
        <v>188</v>
      </c>
      <c r="F6103">
        <v>5101020114</v>
      </c>
      <c r="G6103" s="13">
        <v>4000</v>
      </c>
      <c r="I6103" t="s">
        <v>189</v>
      </c>
      <c r="J6103" t="s">
        <v>947</v>
      </c>
      <c r="K6103" t="s">
        <v>513</v>
      </c>
      <c r="L6103">
        <v>3600027852</v>
      </c>
    </row>
    <row r="6104" spans="3:12">
      <c r="C6104">
        <v>2100300025</v>
      </c>
      <c r="D6104">
        <v>6426000</v>
      </c>
      <c r="E6104" t="s">
        <v>188</v>
      </c>
      <c r="F6104">
        <v>5101020114</v>
      </c>
      <c r="G6104" s="13">
        <v>3000</v>
      </c>
      <c r="I6104" t="s">
        <v>189</v>
      </c>
      <c r="J6104" t="s">
        <v>852</v>
      </c>
      <c r="K6104" t="s">
        <v>513</v>
      </c>
      <c r="L6104">
        <v>3600032190</v>
      </c>
    </row>
    <row r="6105" spans="3:12">
      <c r="C6105">
        <v>2100300025</v>
      </c>
      <c r="D6105">
        <v>6426000</v>
      </c>
      <c r="E6105" t="s">
        <v>188</v>
      </c>
      <c r="F6105">
        <v>5101020114</v>
      </c>
      <c r="G6105" s="13">
        <v>4000</v>
      </c>
      <c r="I6105" t="s">
        <v>189</v>
      </c>
      <c r="J6105" t="s">
        <v>852</v>
      </c>
      <c r="K6105" t="s">
        <v>513</v>
      </c>
      <c r="L6105">
        <v>3600032557</v>
      </c>
    </row>
    <row r="6106" spans="3:12">
      <c r="C6106">
        <v>2100300025</v>
      </c>
      <c r="D6106">
        <v>6426000</v>
      </c>
      <c r="E6106" t="s">
        <v>188</v>
      </c>
      <c r="F6106">
        <v>5101020114</v>
      </c>
      <c r="G6106" s="13">
        <v>3000</v>
      </c>
      <c r="I6106" t="s">
        <v>189</v>
      </c>
      <c r="J6106" t="s">
        <v>967</v>
      </c>
      <c r="K6106" t="s">
        <v>513</v>
      </c>
      <c r="L6106">
        <v>3600034667</v>
      </c>
    </row>
    <row r="6107" spans="3:12">
      <c r="C6107">
        <v>2100300025</v>
      </c>
      <c r="D6107">
        <v>6426000</v>
      </c>
      <c r="E6107" t="s">
        <v>188</v>
      </c>
      <c r="F6107">
        <v>5101020114</v>
      </c>
      <c r="G6107" s="13">
        <v>4000</v>
      </c>
      <c r="I6107" t="s">
        <v>189</v>
      </c>
      <c r="J6107" t="s">
        <v>981</v>
      </c>
      <c r="K6107" t="s">
        <v>513</v>
      </c>
      <c r="L6107">
        <v>3600037167</v>
      </c>
    </row>
    <row r="6108" spans="3:12">
      <c r="C6108">
        <v>2100300025</v>
      </c>
      <c r="D6108">
        <v>6426000</v>
      </c>
      <c r="E6108" t="s">
        <v>188</v>
      </c>
      <c r="F6108">
        <v>5101020114</v>
      </c>
      <c r="G6108" s="13">
        <v>3000</v>
      </c>
      <c r="I6108" t="s">
        <v>189</v>
      </c>
      <c r="J6108" t="s">
        <v>981</v>
      </c>
      <c r="K6108" t="s">
        <v>513</v>
      </c>
      <c r="L6108">
        <v>3600038038</v>
      </c>
    </row>
    <row r="6109" spans="3:12">
      <c r="C6109">
        <v>2100300025</v>
      </c>
      <c r="D6109">
        <v>6426000</v>
      </c>
      <c r="E6109" t="s">
        <v>188</v>
      </c>
      <c r="F6109">
        <v>5101020199</v>
      </c>
      <c r="G6109" s="13">
        <v>58000</v>
      </c>
      <c r="I6109" t="s">
        <v>189</v>
      </c>
      <c r="J6109" t="s">
        <v>846</v>
      </c>
      <c r="K6109" t="s">
        <v>486</v>
      </c>
      <c r="L6109">
        <v>3600031803</v>
      </c>
    </row>
    <row r="6110" spans="3:12">
      <c r="C6110">
        <v>2100300025</v>
      </c>
      <c r="D6110">
        <v>6426000</v>
      </c>
      <c r="E6110" t="s">
        <v>188</v>
      </c>
      <c r="F6110">
        <v>5101020199</v>
      </c>
      <c r="G6110" s="13">
        <v>4000</v>
      </c>
      <c r="I6110" t="s">
        <v>189</v>
      </c>
      <c r="J6110" t="s">
        <v>863</v>
      </c>
      <c r="K6110" t="s">
        <v>486</v>
      </c>
      <c r="L6110">
        <v>3600041632</v>
      </c>
    </row>
    <row r="6111" spans="3:12">
      <c r="C6111">
        <v>2100300025</v>
      </c>
      <c r="D6111">
        <v>6426000</v>
      </c>
      <c r="E6111" t="s">
        <v>188</v>
      </c>
      <c r="F6111">
        <v>5101010199</v>
      </c>
      <c r="G6111" s="13">
        <v>25200</v>
      </c>
      <c r="I6111" t="s">
        <v>189</v>
      </c>
      <c r="J6111" t="s">
        <v>868</v>
      </c>
      <c r="K6111" t="s">
        <v>190</v>
      </c>
      <c r="L6111">
        <v>3600038005</v>
      </c>
    </row>
    <row r="6112" spans="3:12">
      <c r="C6112">
        <v>2100300025</v>
      </c>
      <c r="D6112">
        <v>6426000</v>
      </c>
      <c r="E6112" t="s">
        <v>188</v>
      </c>
      <c r="F6112">
        <v>5101020106</v>
      </c>
      <c r="G6112">
        <v>375</v>
      </c>
      <c r="I6112" t="s">
        <v>189</v>
      </c>
      <c r="J6112" t="s">
        <v>868</v>
      </c>
      <c r="K6112" t="s">
        <v>148</v>
      </c>
      <c r="L6112">
        <v>3600038005</v>
      </c>
    </row>
    <row r="6113" spans="3:12">
      <c r="C6113">
        <v>2100300025</v>
      </c>
      <c r="D6113">
        <v>6426000</v>
      </c>
      <c r="E6113" t="s">
        <v>188</v>
      </c>
      <c r="F6113">
        <v>5102010199</v>
      </c>
      <c r="G6113" s="13">
        <v>7475</v>
      </c>
      <c r="I6113" t="s">
        <v>189</v>
      </c>
      <c r="J6113" t="s">
        <v>888</v>
      </c>
      <c r="K6113" t="s">
        <v>151</v>
      </c>
      <c r="L6113">
        <v>3600007640</v>
      </c>
    </row>
    <row r="6114" spans="3:12">
      <c r="C6114">
        <v>2100300025</v>
      </c>
      <c r="D6114">
        <v>6426000</v>
      </c>
      <c r="E6114" t="s">
        <v>188</v>
      </c>
      <c r="F6114">
        <v>5102010199</v>
      </c>
      <c r="G6114" s="13">
        <v>7290</v>
      </c>
      <c r="I6114" t="s">
        <v>189</v>
      </c>
      <c r="J6114" t="s">
        <v>905</v>
      </c>
      <c r="K6114" t="s">
        <v>151</v>
      </c>
      <c r="L6114">
        <v>3600015064</v>
      </c>
    </row>
    <row r="6115" spans="3:12">
      <c r="C6115">
        <v>2100300025</v>
      </c>
      <c r="D6115">
        <v>6426000</v>
      </c>
      <c r="E6115" t="s">
        <v>188</v>
      </c>
      <c r="F6115">
        <v>5102010199</v>
      </c>
      <c r="G6115" s="13">
        <v>66655</v>
      </c>
      <c r="I6115" t="s">
        <v>189</v>
      </c>
      <c r="J6115" t="s">
        <v>910</v>
      </c>
      <c r="K6115" t="s">
        <v>151</v>
      </c>
      <c r="L6115">
        <v>3600016728</v>
      </c>
    </row>
    <row r="6116" spans="3:12">
      <c r="C6116">
        <v>2100300025</v>
      </c>
      <c r="D6116">
        <v>6426000</v>
      </c>
      <c r="E6116" t="s">
        <v>188</v>
      </c>
      <c r="F6116">
        <v>5102010199</v>
      </c>
      <c r="G6116">
        <v>250</v>
      </c>
      <c r="I6116" t="s">
        <v>189</v>
      </c>
      <c r="J6116" t="s">
        <v>916</v>
      </c>
      <c r="K6116" t="s">
        <v>151</v>
      </c>
      <c r="L6116">
        <v>3600017400</v>
      </c>
    </row>
    <row r="6117" spans="3:12">
      <c r="C6117">
        <v>2100300025</v>
      </c>
      <c r="D6117">
        <v>6426000</v>
      </c>
      <c r="E6117" t="s">
        <v>188</v>
      </c>
      <c r="F6117">
        <v>5102010199</v>
      </c>
      <c r="G6117">
        <v>125</v>
      </c>
      <c r="I6117" t="s">
        <v>189</v>
      </c>
      <c r="J6117" t="s">
        <v>922</v>
      </c>
      <c r="K6117" t="s">
        <v>151</v>
      </c>
      <c r="L6117">
        <v>3600020181</v>
      </c>
    </row>
    <row r="6118" spans="3:12">
      <c r="C6118">
        <v>2100300025</v>
      </c>
      <c r="D6118">
        <v>6426000</v>
      </c>
      <c r="E6118" t="s">
        <v>188</v>
      </c>
      <c r="F6118">
        <v>5102010199</v>
      </c>
      <c r="G6118">
        <v>800</v>
      </c>
      <c r="I6118" t="s">
        <v>189</v>
      </c>
      <c r="J6118" t="s">
        <v>936</v>
      </c>
      <c r="K6118" t="s">
        <v>151</v>
      </c>
      <c r="L6118">
        <v>3600026101</v>
      </c>
    </row>
    <row r="6119" spans="3:12">
      <c r="C6119">
        <v>2100300025</v>
      </c>
      <c r="D6119">
        <v>6426000</v>
      </c>
      <c r="E6119" t="s">
        <v>188</v>
      </c>
      <c r="F6119">
        <v>5102010199</v>
      </c>
      <c r="G6119" s="13">
        <v>1120</v>
      </c>
      <c r="I6119" t="s">
        <v>189</v>
      </c>
      <c r="J6119" t="s">
        <v>887</v>
      </c>
      <c r="K6119" t="s">
        <v>151</v>
      </c>
      <c r="L6119">
        <v>3600005828</v>
      </c>
    </row>
    <row r="6120" spans="3:12">
      <c r="C6120">
        <v>2100300025</v>
      </c>
      <c r="D6120">
        <v>6426000</v>
      </c>
      <c r="E6120" t="s">
        <v>188</v>
      </c>
      <c r="F6120">
        <v>5102010199</v>
      </c>
      <c r="G6120" s="13">
        <v>14183</v>
      </c>
      <c r="I6120" t="s">
        <v>189</v>
      </c>
      <c r="J6120" t="s">
        <v>808</v>
      </c>
      <c r="K6120" t="s">
        <v>151</v>
      </c>
      <c r="L6120">
        <v>3600004588</v>
      </c>
    </row>
    <row r="6121" spans="3:12">
      <c r="C6121">
        <v>2100300025</v>
      </c>
      <c r="D6121">
        <v>6426000</v>
      </c>
      <c r="E6121" t="s">
        <v>188</v>
      </c>
      <c r="F6121">
        <v>5102010199</v>
      </c>
      <c r="G6121" s="13">
        <v>33358</v>
      </c>
      <c r="I6121" t="s">
        <v>189</v>
      </c>
      <c r="J6121" t="s">
        <v>889</v>
      </c>
      <c r="K6121" t="s">
        <v>151</v>
      </c>
      <c r="L6121">
        <v>3600006422</v>
      </c>
    </row>
    <row r="6122" spans="3:12">
      <c r="C6122">
        <v>2100300025</v>
      </c>
      <c r="D6122">
        <v>6426000</v>
      </c>
      <c r="E6122" t="s">
        <v>188</v>
      </c>
      <c r="F6122">
        <v>5102010199</v>
      </c>
      <c r="G6122" s="13">
        <v>6332</v>
      </c>
      <c r="I6122" t="s">
        <v>189</v>
      </c>
      <c r="J6122" t="s">
        <v>889</v>
      </c>
      <c r="K6122" t="s">
        <v>151</v>
      </c>
      <c r="L6122">
        <v>3600007091</v>
      </c>
    </row>
    <row r="6123" spans="3:12">
      <c r="C6123">
        <v>2100300025</v>
      </c>
      <c r="D6123">
        <v>6426000</v>
      </c>
      <c r="E6123" t="s">
        <v>188</v>
      </c>
      <c r="F6123">
        <v>5102010199</v>
      </c>
      <c r="G6123" s="13">
        <v>1190</v>
      </c>
      <c r="I6123" t="s">
        <v>189</v>
      </c>
      <c r="J6123" t="s">
        <v>891</v>
      </c>
      <c r="K6123" t="s">
        <v>151</v>
      </c>
      <c r="L6123">
        <v>3600005879</v>
      </c>
    </row>
    <row r="6124" spans="3:12">
      <c r="C6124">
        <v>2100300025</v>
      </c>
      <c r="D6124">
        <v>6426000</v>
      </c>
      <c r="E6124" t="s">
        <v>188</v>
      </c>
      <c r="F6124">
        <v>5102010199</v>
      </c>
      <c r="G6124" s="13">
        <v>49080</v>
      </c>
      <c r="I6124" t="s">
        <v>189</v>
      </c>
      <c r="J6124" t="s">
        <v>895</v>
      </c>
      <c r="K6124" t="s">
        <v>151</v>
      </c>
      <c r="L6124">
        <v>3600013042</v>
      </c>
    </row>
    <row r="6125" spans="3:12">
      <c r="C6125">
        <v>2100300025</v>
      </c>
      <c r="D6125">
        <v>6426000</v>
      </c>
      <c r="E6125" t="s">
        <v>188</v>
      </c>
      <c r="F6125">
        <v>5102010199</v>
      </c>
      <c r="G6125" s="13">
        <v>17784</v>
      </c>
      <c r="I6125" t="s">
        <v>189</v>
      </c>
      <c r="J6125" t="s">
        <v>898</v>
      </c>
      <c r="K6125" t="s">
        <v>151</v>
      </c>
      <c r="L6125">
        <v>3600013208</v>
      </c>
    </row>
    <row r="6126" spans="3:12">
      <c r="C6126">
        <v>2100300025</v>
      </c>
      <c r="D6126">
        <v>6426000</v>
      </c>
      <c r="E6126" t="s">
        <v>188</v>
      </c>
      <c r="F6126">
        <v>5102010199</v>
      </c>
      <c r="G6126" s="13">
        <v>7756</v>
      </c>
      <c r="I6126" t="s">
        <v>189</v>
      </c>
      <c r="J6126" t="s">
        <v>899</v>
      </c>
      <c r="K6126" t="s">
        <v>151</v>
      </c>
      <c r="L6126">
        <v>3600009324</v>
      </c>
    </row>
    <row r="6127" spans="3:12">
      <c r="C6127">
        <v>2100300025</v>
      </c>
      <c r="D6127">
        <v>6426000</v>
      </c>
      <c r="E6127" t="s">
        <v>188</v>
      </c>
      <c r="F6127">
        <v>5102010199</v>
      </c>
      <c r="G6127" s="13">
        <v>23300</v>
      </c>
      <c r="I6127" t="s">
        <v>189</v>
      </c>
      <c r="J6127" t="s">
        <v>900</v>
      </c>
      <c r="K6127" t="s">
        <v>151</v>
      </c>
      <c r="L6127">
        <v>3600009385</v>
      </c>
    </row>
    <row r="6128" spans="3:12">
      <c r="C6128">
        <v>2100300025</v>
      </c>
      <c r="D6128">
        <v>6426000</v>
      </c>
      <c r="E6128" t="s">
        <v>188</v>
      </c>
      <c r="F6128">
        <v>5102010199</v>
      </c>
      <c r="G6128" s="13">
        <v>45591</v>
      </c>
      <c r="I6128" t="s">
        <v>189</v>
      </c>
      <c r="J6128" t="s">
        <v>902</v>
      </c>
      <c r="K6128" t="s">
        <v>151</v>
      </c>
      <c r="L6128">
        <v>3600014003</v>
      </c>
    </row>
    <row r="6129" spans="3:12">
      <c r="C6129">
        <v>2100300025</v>
      </c>
      <c r="D6129">
        <v>6426000</v>
      </c>
      <c r="E6129" t="s">
        <v>188</v>
      </c>
      <c r="F6129">
        <v>5102010199</v>
      </c>
      <c r="G6129" s="13">
        <v>4530</v>
      </c>
      <c r="I6129" t="s">
        <v>189</v>
      </c>
      <c r="J6129" t="s">
        <v>825</v>
      </c>
      <c r="K6129" t="s">
        <v>151</v>
      </c>
      <c r="L6129">
        <v>3600019601</v>
      </c>
    </row>
    <row r="6130" spans="3:12">
      <c r="C6130">
        <v>2100300025</v>
      </c>
      <c r="D6130">
        <v>6426000</v>
      </c>
      <c r="E6130" t="s">
        <v>188</v>
      </c>
      <c r="F6130">
        <v>5102010199</v>
      </c>
      <c r="G6130" s="13">
        <v>12140</v>
      </c>
      <c r="I6130" t="s">
        <v>189</v>
      </c>
      <c r="J6130" t="s">
        <v>799</v>
      </c>
      <c r="K6130" t="s">
        <v>151</v>
      </c>
      <c r="L6130">
        <v>3600016871</v>
      </c>
    </row>
    <row r="6131" spans="3:12">
      <c r="C6131">
        <v>2100300025</v>
      </c>
      <c r="D6131">
        <v>6426000</v>
      </c>
      <c r="E6131" t="s">
        <v>188</v>
      </c>
      <c r="F6131">
        <v>5102010199</v>
      </c>
      <c r="G6131" s="13">
        <v>2650</v>
      </c>
      <c r="I6131" t="s">
        <v>189</v>
      </c>
      <c r="J6131" t="s">
        <v>830</v>
      </c>
      <c r="K6131" t="s">
        <v>151</v>
      </c>
      <c r="L6131">
        <v>3600019043</v>
      </c>
    </row>
    <row r="6132" spans="3:12">
      <c r="C6132">
        <v>2100300025</v>
      </c>
      <c r="D6132">
        <v>6426000</v>
      </c>
      <c r="E6132" t="s">
        <v>188</v>
      </c>
      <c r="F6132">
        <v>5102010199</v>
      </c>
      <c r="G6132" s="13">
        <v>2000</v>
      </c>
      <c r="I6132" t="s">
        <v>189</v>
      </c>
      <c r="J6132" t="s">
        <v>564</v>
      </c>
      <c r="K6132" t="s">
        <v>151</v>
      </c>
      <c r="L6132">
        <v>3600019866</v>
      </c>
    </row>
    <row r="6133" spans="3:12">
      <c r="C6133">
        <v>2100300025</v>
      </c>
      <c r="D6133">
        <v>6426000</v>
      </c>
      <c r="E6133" t="s">
        <v>188</v>
      </c>
      <c r="F6133">
        <v>5102010199</v>
      </c>
      <c r="G6133" s="13">
        <v>25820</v>
      </c>
      <c r="I6133" t="s">
        <v>189</v>
      </c>
      <c r="J6133" t="s">
        <v>837</v>
      </c>
      <c r="K6133" t="s">
        <v>151</v>
      </c>
      <c r="L6133">
        <v>3600020540</v>
      </c>
    </row>
    <row r="6134" spans="3:12">
      <c r="C6134">
        <v>2100300025</v>
      </c>
      <c r="D6134">
        <v>6426000</v>
      </c>
      <c r="E6134" t="s">
        <v>188</v>
      </c>
      <c r="F6134">
        <v>5102010199</v>
      </c>
      <c r="G6134">
        <v>125</v>
      </c>
      <c r="I6134" t="s">
        <v>189</v>
      </c>
      <c r="J6134" t="s">
        <v>941</v>
      </c>
      <c r="K6134" t="s">
        <v>151</v>
      </c>
      <c r="L6134">
        <v>3600024267</v>
      </c>
    </row>
    <row r="6135" spans="3:12">
      <c r="C6135">
        <v>2100300025</v>
      </c>
      <c r="D6135">
        <v>6426000</v>
      </c>
      <c r="E6135" t="s">
        <v>188</v>
      </c>
      <c r="F6135">
        <v>5102010199</v>
      </c>
      <c r="G6135">
        <v>965</v>
      </c>
      <c r="I6135" t="s">
        <v>189</v>
      </c>
      <c r="J6135" t="s">
        <v>841</v>
      </c>
      <c r="K6135" t="s">
        <v>151</v>
      </c>
      <c r="L6135">
        <v>3600027814</v>
      </c>
    </row>
    <row r="6136" spans="3:12">
      <c r="C6136">
        <v>2100300025</v>
      </c>
      <c r="D6136">
        <v>6426000</v>
      </c>
      <c r="E6136" t="s">
        <v>188</v>
      </c>
      <c r="F6136">
        <v>5102010199</v>
      </c>
      <c r="G6136" s="13">
        <v>33940</v>
      </c>
      <c r="I6136" t="s">
        <v>189</v>
      </c>
      <c r="J6136" t="s">
        <v>844</v>
      </c>
      <c r="K6136" t="s">
        <v>151</v>
      </c>
      <c r="L6136">
        <v>3600028062</v>
      </c>
    </row>
    <row r="6137" spans="3:12">
      <c r="C6137">
        <v>2100300025</v>
      </c>
      <c r="D6137">
        <v>6426000</v>
      </c>
      <c r="E6137" t="s">
        <v>188</v>
      </c>
      <c r="F6137">
        <v>5102010199</v>
      </c>
      <c r="G6137" s="13">
        <v>5700</v>
      </c>
      <c r="I6137" t="s">
        <v>189</v>
      </c>
      <c r="J6137" t="s">
        <v>911</v>
      </c>
      <c r="K6137" t="s">
        <v>151</v>
      </c>
      <c r="L6137">
        <v>3600001015</v>
      </c>
    </row>
    <row r="6138" spans="3:12">
      <c r="C6138">
        <v>2100300025</v>
      </c>
      <c r="D6138">
        <v>6426000</v>
      </c>
      <c r="E6138" t="s">
        <v>188</v>
      </c>
      <c r="F6138">
        <v>5102010199</v>
      </c>
      <c r="G6138" s="13">
        <v>3040</v>
      </c>
      <c r="I6138" t="s">
        <v>189</v>
      </c>
      <c r="J6138" t="s">
        <v>977</v>
      </c>
      <c r="K6138" t="s">
        <v>151</v>
      </c>
      <c r="L6138">
        <v>3600036625</v>
      </c>
    </row>
    <row r="6139" spans="3:12">
      <c r="C6139">
        <v>2100300025</v>
      </c>
      <c r="D6139">
        <v>6426000</v>
      </c>
      <c r="E6139" t="s">
        <v>188</v>
      </c>
      <c r="F6139">
        <v>5103010102</v>
      </c>
      <c r="G6139">
        <v>120</v>
      </c>
      <c r="I6139" t="s">
        <v>189</v>
      </c>
      <c r="J6139" t="s">
        <v>878</v>
      </c>
      <c r="K6139" t="s">
        <v>63</v>
      </c>
      <c r="L6139">
        <v>3600002083</v>
      </c>
    </row>
    <row r="6140" spans="3:12">
      <c r="C6140">
        <v>2100300025</v>
      </c>
      <c r="D6140">
        <v>6426000</v>
      </c>
      <c r="E6140" t="s">
        <v>188</v>
      </c>
      <c r="F6140">
        <v>5103010102</v>
      </c>
      <c r="G6140">
        <v>120</v>
      </c>
      <c r="I6140" t="s">
        <v>189</v>
      </c>
      <c r="J6140" t="s">
        <v>887</v>
      </c>
      <c r="K6140" t="s">
        <v>63</v>
      </c>
      <c r="L6140">
        <v>3600005828</v>
      </c>
    </row>
    <row r="6141" spans="3:12">
      <c r="C6141">
        <v>2100300025</v>
      </c>
      <c r="D6141">
        <v>6426000</v>
      </c>
      <c r="E6141" t="s">
        <v>188</v>
      </c>
      <c r="F6141">
        <v>5103010102</v>
      </c>
      <c r="G6141">
        <v>120</v>
      </c>
      <c r="I6141" t="s">
        <v>189</v>
      </c>
      <c r="J6141" t="s">
        <v>808</v>
      </c>
      <c r="K6141" t="s">
        <v>63</v>
      </c>
      <c r="L6141">
        <v>3600004588</v>
      </c>
    </row>
    <row r="6142" spans="3:12">
      <c r="C6142">
        <v>2100300025</v>
      </c>
      <c r="D6142">
        <v>6426000</v>
      </c>
      <c r="E6142" t="s">
        <v>188</v>
      </c>
      <c r="F6142">
        <v>5103010102</v>
      </c>
      <c r="G6142">
        <v>240</v>
      </c>
      <c r="I6142" t="s">
        <v>189</v>
      </c>
      <c r="J6142" t="s">
        <v>889</v>
      </c>
      <c r="K6142" t="s">
        <v>63</v>
      </c>
      <c r="L6142">
        <v>3600006422</v>
      </c>
    </row>
    <row r="6143" spans="3:12">
      <c r="C6143">
        <v>2100300025</v>
      </c>
      <c r="D6143">
        <v>6426000</v>
      </c>
      <c r="E6143" t="s">
        <v>188</v>
      </c>
      <c r="F6143">
        <v>5103010102</v>
      </c>
      <c r="G6143">
        <v>240</v>
      </c>
      <c r="I6143" t="s">
        <v>189</v>
      </c>
      <c r="J6143" t="s">
        <v>891</v>
      </c>
      <c r="K6143" t="s">
        <v>63</v>
      </c>
      <c r="L6143">
        <v>3600005879</v>
      </c>
    </row>
    <row r="6144" spans="3:12">
      <c r="C6144">
        <v>2100300025</v>
      </c>
      <c r="D6144">
        <v>6426000</v>
      </c>
      <c r="E6144" t="s">
        <v>188</v>
      </c>
      <c r="F6144">
        <v>5103010102</v>
      </c>
      <c r="G6144">
        <v>270</v>
      </c>
      <c r="I6144" t="s">
        <v>189</v>
      </c>
      <c r="J6144" t="s">
        <v>899</v>
      </c>
      <c r="K6144" t="s">
        <v>63</v>
      </c>
      <c r="L6144">
        <v>3600009324</v>
      </c>
    </row>
    <row r="6145" spans="3:12">
      <c r="C6145">
        <v>2100300025</v>
      </c>
      <c r="D6145">
        <v>6426000</v>
      </c>
      <c r="E6145" t="s">
        <v>188</v>
      </c>
      <c r="F6145">
        <v>5103010102</v>
      </c>
      <c r="G6145">
        <v>840</v>
      </c>
      <c r="I6145" t="s">
        <v>189</v>
      </c>
      <c r="J6145" t="s">
        <v>837</v>
      </c>
      <c r="K6145" t="s">
        <v>63</v>
      </c>
      <c r="L6145">
        <v>3600020540</v>
      </c>
    </row>
    <row r="6146" spans="3:12">
      <c r="C6146">
        <v>2100300025</v>
      </c>
      <c r="D6146">
        <v>6426000</v>
      </c>
      <c r="E6146" t="s">
        <v>188</v>
      </c>
      <c r="F6146">
        <v>5103010102</v>
      </c>
      <c r="G6146">
        <v>120</v>
      </c>
      <c r="I6146" t="s">
        <v>189</v>
      </c>
      <c r="J6146" t="s">
        <v>866</v>
      </c>
      <c r="K6146" t="s">
        <v>63</v>
      </c>
      <c r="L6146">
        <v>3600041254</v>
      </c>
    </row>
    <row r="6147" spans="3:12">
      <c r="C6147">
        <v>2100300025</v>
      </c>
      <c r="D6147">
        <v>6426000</v>
      </c>
      <c r="E6147" t="s">
        <v>188</v>
      </c>
      <c r="F6147">
        <v>5102010199</v>
      </c>
      <c r="G6147">
        <v>100</v>
      </c>
      <c r="I6147" t="s">
        <v>189</v>
      </c>
      <c r="J6147" t="s">
        <v>952</v>
      </c>
      <c r="K6147" t="s">
        <v>151</v>
      </c>
      <c r="L6147">
        <v>3600030329</v>
      </c>
    </row>
    <row r="6148" spans="3:12">
      <c r="C6148">
        <v>2100300025</v>
      </c>
      <c r="D6148">
        <v>6426000</v>
      </c>
      <c r="E6148" t="s">
        <v>188</v>
      </c>
      <c r="F6148">
        <v>5102010199</v>
      </c>
      <c r="G6148" s="13">
        <v>4630</v>
      </c>
      <c r="I6148" t="s">
        <v>189</v>
      </c>
      <c r="J6148" t="s">
        <v>881</v>
      </c>
      <c r="K6148" t="s">
        <v>151</v>
      </c>
      <c r="L6148">
        <v>3600000508</v>
      </c>
    </row>
    <row r="6149" spans="3:12">
      <c r="C6149">
        <v>2100300025</v>
      </c>
      <c r="D6149">
        <v>6426000</v>
      </c>
      <c r="E6149" t="s">
        <v>188</v>
      </c>
      <c r="F6149">
        <v>5103010102</v>
      </c>
      <c r="G6149">
        <v>400</v>
      </c>
      <c r="I6149" t="s">
        <v>189</v>
      </c>
      <c r="J6149" t="s">
        <v>881</v>
      </c>
      <c r="K6149" t="s">
        <v>63</v>
      </c>
      <c r="L6149">
        <v>3600000508</v>
      </c>
    </row>
    <row r="6150" spans="3:12">
      <c r="C6150">
        <v>2100300025</v>
      </c>
      <c r="D6150">
        <v>6426000</v>
      </c>
      <c r="E6150" t="s">
        <v>188</v>
      </c>
      <c r="F6150">
        <v>5102010199</v>
      </c>
      <c r="G6150" s="13">
        <v>1215</v>
      </c>
      <c r="I6150" t="s">
        <v>189</v>
      </c>
      <c r="J6150" t="s">
        <v>810</v>
      </c>
      <c r="K6150" t="s">
        <v>151</v>
      </c>
      <c r="L6150">
        <v>3600005627</v>
      </c>
    </row>
    <row r="6151" spans="3:12">
      <c r="C6151">
        <v>2100300025</v>
      </c>
      <c r="D6151">
        <v>6426000</v>
      </c>
      <c r="E6151" t="s">
        <v>188</v>
      </c>
      <c r="F6151">
        <v>5103010102</v>
      </c>
      <c r="G6151" s="13">
        <v>1440</v>
      </c>
      <c r="I6151" t="s">
        <v>189</v>
      </c>
      <c r="J6151" t="s">
        <v>810</v>
      </c>
      <c r="K6151" t="s">
        <v>63</v>
      </c>
      <c r="L6151">
        <v>3600005627</v>
      </c>
    </row>
    <row r="6152" spans="3:12">
      <c r="C6152">
        <v>2100300025</v>
      </c>
      <c r="D6152">
        <v>6426000</v>
      </c>
      <c r="E6152" t="s">
        <v>188</v>
      </c>
      <c r="F6152">
        <v>5102010199</v>
      </c>
      <c r="G6152" s="13">
        <v>19186</v>
      </c>
      <c r="I6152" t="s">
        <v>189</v>
      </c>
      <c r="J6152" t="s">
        <v>885</v>
      </c>
      <c r="K6152" t="s">
        <v>151</v>
      </c>
      <c r="L6152">
        <v>3600007154</v>
      </c>
    </row>
    <row r="6153" spans="3:12">
      <c r="C6153">
        <v>2100300025</v>
      </c>
      <c r="D6153">
        <v>6426000</v>
      </c>
      <c r="E6153" t="s">
        <v>188</v>
      </c>
      <c r="F6153">
        <v>5102010199</v>
      </c>
      <c r="G6153" s="13">
        <v>35203</v>
      </c>
      <c r="I6153" t="s">
        <v>189</v>
      </c>
      <c r="J6153" t="s">
        <v>885</v>
      </c>
      <c r="K6153" t="s">
        <v>151</v>
      </c>
      <c r="L6153">
        <v>3600007155</v>
      </c>
    </row>
    <row r="6154" spans="3:12">
      <c r="C6154">
        <v>2100300025</v>
      </c>
      <c r="D6154">
        <v>6426000</v>
      </c>
      <c r="E6154" t="s">
        <v>188</v>
      </c>
      <c r="F6154">
        <v>5102010199</v>
      </c>
      <c r="G6154" s="13">
        <v>23236</v>
      </c>
      <c r="I6154" t="s">
        <v>189</v>
      </c>
      <c r="J6154" t="s">
        <v>892</v>
      </c>
      <c r="K6154" t="s">
        <v>151</v>
      </c>
      <c r="L6154">
        <v>3600009026</v>
      </c>
    </row>
    <row r="6155" spans="3:12">
      <c r="C6155">
        <v>2100300025</v>
      </c>
      <c r="D6155">
        <v>6426000</v>
      </c>
      <c r="E6155" t="s">
        <v>188</v>
      </c>
      <c r="F6155">
        <v>5103010102</v>
      </c>
      <c r="G6155">
        <v>720</v>
      </c>
      <c r="I6155" t="s">
        <v>189</v>
      </c>
      <c r="J6155" t="s">
        <v>892</v>
      </c>
      <c r="K6155" t="s">
        <v>63</v>
      </c>
      <c r="L6155">
        <v>3600009026</v>
      </c>
    </row>
    <row r="6156" spans="3:12">
      <c r="C6156">
        <v>2100300025</v>
      </c>
      <c r="D6156">
        <v>6426000</v>
      </c>
      <c r="E6156" t="s">
        <v>188</v>
      </c>
      <c r="F6156">
        <v>5102010199</v>
      </c>
      <c r="G6156" s="13">
        <v>30765</v>
      </c>
      <c r="I6156" t="s">
        <v>189</v>
      </c>
      <c r="J6156" t="s">
        <v>871</v>
      </c>
      <c r="K6156" t="s">
        <v>151</v>
      </c>
      <c r="L6156">
        <v>3600010887</v>
      </c>
    </row>
    <row r="6157" spans="3:12">
      <c r="C6157">
        <v>2100300025</v>
      </c>
      <c r="D6157">
        <v>6426000</v>
      </c>
      <c r="E6157" t="s">
        <v>188</v>
      </c>
      <c r="F6157">
        <v>5103010102</v>
      </c>
      <c r="G6157">
        <v>240</v>
      </c>
      <c r="I6157" t="s">
        <v>189</v>
      </c>
      <c r="J6157" t="s">
        <v>871</v>
      </c>
      <c r="K6157" t="s">
        <v>63</v>
      </c>
      <c r="L6157">
        <v>3600010887</v>
      </c>
    </row>
    <row r="6158" spans="3:12">
      <c r="C6158">
        <v>2100300025</v>
      </c>
      <c r="D6158">
        <v>6426000</v>
      </c>
      <c r="E6158" t="s">
        <v>188</v>
      </c>
      <c r="F6158">
        <v>5102010199</v>
      </c>
      <c r="G6158" s="13">
        <v>7205</v>
      </c>
      <c r="I6158" t="s">
        <v>189</v>
      </c>
      <c r="J6158" t="s">
        <v>894</v>
      </c>
      <c r="K6158" t="s">
        <v>151</v>
      </c>
      <c r="L6158">
        <v>3600011390</v>
      </c>
    </row>
    <row r="6159" spans="3:12">
      <c r="C6159">
        <v>2100300025</v>
      </c>
      <c r="D6159">
        <v>6426000</v>
      </c>
      <c r="E6159" t="s">
        <v>188</v>
      </c>
      <c r="F6159">
        <v>5103010102</v>
      </c>
      <c r="G6159">
        <v>480</v>
      </c>
      <c r="I6159" t="s">
        <v>189</v>
      </c>
      <c r="J6159" t="s">
        <v>894</v>
      </c>
      <c r="K6159" t="s">
        <v>63</v>
      </c>
      <c r="L6159">
        <v>3600011390</v>
      </c>
    </row>
    <row r="6160" spans="3:12">
      <c r="C6160">
        <v>2100300025</v>
      </c>
      <c r="D6160">
        <v>6426000</v>
      </c>
      <c r="E6160" t="s">
        <v>188</v>
      </c>
      <c r="F6160">
        <v>5102010199</v>
      </c>
      <c r="G6160" s="13">
        <v>18206</v>
      </c>
      <c r="I6160" t="s">
        <v>189</v>
      </c>
      <c r="J6160" t="s">
        <v>814</v>
      </c>
      <c r="K6160" t="s">
        <v>151</v>
      </c>
      <c r="L6160">
        <v>3600001911</v>
      </c>
    </row>
    <row r="6161" spans="3:12">
      <c r="C6161">
        <v>2100300025</v>
      </c>
      <c r="D6161">
        <v>6426000</v>
      </c>
      <c r="E6161" t="s">
        <v>188</v>
      </c>
      <c r="F6161">
        <v>5102010199</v>
      </c>
      <c r="G6161" s="13">
        <v>45797</v>
      </c>
      <c r="I6161" t="s">
        <v>189</v>
      </c>
      <c r="J6161" t="s">
        <v>901</v>
      </c>
      <c r="K6161" t="s">
        <v>151</v>
      </c>
      <c r="L6161">
        <v>3600011684</v>
      </c>
    </row>
    <row r="6162" spans="3:12">
      <c r="C6162">
        <v>2100300025</v>
      </c>
      <c r="D6162">
        <v>6426000</v>
      </c>
      <c r="E6162" t="s">
        <v>188</v>
      </c>
      <c r="F6162">
        <v>5102010199</v>
      </c>
      <c r="G6162" s="13">
        <v>24366</v>
      </c>
      <c r="I6162" t="s">
        <v>189</v>
      </c>
      <c r="J6162" t="s">
        <v>555</v>
      </c>
      <c r="K6162" t="s">
        <v>151</v>
      </c>
      <c r="L6162">
        <v>3600000564</v>
      </c>
    </row>
    <row r="6163" spans="3:12">
      <c r="C6163">
        <v>2100300025</v>
      </c>
      <c r="D6163">
        <v>6426000</v>
      </c>
      <c r="E6163" t="s">
        <v>188</v>
      </c>
      <c r="F6163">
        <v>5102010199</v>
      </c>
      <c r="G6163" s="13">
        <v>23330</v>
      </c>
      <c r="I6163" t="s">
        <v>189</v>
      </c>
      <c r="J6163" t="s">
        <v>904</v>
      </c>
      <c r="K6163" t="s">
        <v>151</v>
      </c>
      <c r="L6163">
        <v>3600014356</v>
      </c>
    </row>
    <row r="6164" spans="3:12">
      <c r="C6164">
        <v>2100300025</v>
      </c>
      <c r="D6164">
        <v>6426000</v>
      </c>
      <c r="E6164" t="s">
        <v>188</v>
      </c>
      <c r="F6164">
        <v>5102010199</v>
      </c>
      <c r="G6164" s="13">
        <v>24103.55</v>
      </c>
      <c r="I6164" t="s">
        <v>189</v>
      </c>
      <c r="J6164" t="s">
        <v>906</v>
      </c>
      <c r="K6164" t="s">
        <v>151</v>
      </c>
      <c r="L6164">
        <v>3600014130</v>
      </c>
    </row>
    <row r="6165" spans="3:12">
      <c r="C6165">
        <v>2100300025</v>
      </c>
      <c r="D6165">
        <v>6426000</v>
      </c>
      <c r="E6165" t="s">
        <v>188</v>
      </c>
      <c r="F6165">
        <v>5103010102</v>
      </c>
      <c r="G6165" s="13">
        <v>2880</v>
      </c>
      <c r="I6165" t="s">
        <v>189</v>
      </c>
      <c r="J6165" t="s">
        <v>906</v>
      </c>
      <c r="K6165" t="s">
        <v>63</v>
      </c>
      <c r="L6165">
        <v>3600014130</v>
      </c>
    </row>
    <row r="6166" spans="3:12">
      <c r="C6166">
        <v>2100300025</v>
      </c>
      <c r="D6166">
        <v>6426000</v>
      </c>
      <c r="E6166" t="s">
        <v>188</v>
      </c>
      <c r="F6166">
        <v>5102010199</v>
      </c>
      <c r="G6166" s="13">
        <v>10354</v>
      </c>
      <c r="I6166" t="s">
        <v>189</v>
      </c>
      <c r="J6166" t="s">
        <v>907</v>
      </c>
      <c r="K6166" t="s">
        <v>151</v>
      </c>
      <c r="L6166">
        <v>3600014900</v>
      </c>
    </row>
    <row r="6167" spans="3:12">
      <c r="C6167">
        <v>2100300025</v>
      </c>
      <c r="D6167">
        <v>6426000</v>
      </c>
      <c r="E6167" t="s">
        <v>188</v>
      </c>
      <c r="F6167">
        <v>5102010199</v>
      </c>
      <c r="G6167" s="13">
        <v>3740</v>
      </c>
      <c r="I6167" t="s">
        <v>189</v>
      </c>
      <c r="J6167" t="s">
        <v>567</v>
      </c>
      <c r="K6167" t="s">
        <v>151</v>
      </c>
      <c r="L6167">
        <v>3600014076</v>
      </c>
    </row>
    <row r="6168" spans="3:12">
      <c r="C6168">
        <v>2100300025</v>
      </c>
      <c r="D6168">
        <v>6426000</v>
      </c>
      <c r="E6168" t="s">
        <v>188</v>
      </c>
      <c r="F6168">
        <v>5102010199</v>
      </c>
      <c r="G6168" s="13">
        <v>11090</v>
      </c>
      <c r="I6168" t="s">
        <v>189</v>
      </c>
      <c r="J6168" t="s">
        <v>914</v>
      </c>
      <c r="K6168" t="s">
        <v>151</v>
      </c>
      <c r="L6168">
        <v>3600017100</v>
      </c>
    </row>
    <row r="6169" spans="3:12">
      <c r="C6169">
        <v>2100300025</v>
      </c>
      <c r="D6169">
        <v>6426000</v>
      </c>
      <c r="E6169" t="s">
        <v>188</v>
      </c>
      <c r="F6169">
        <v>5103010102</v>
      </c>
      <c r="G6169">
        <v>120</v>
      </c>
      <c r="I6169" t="s">
        <v>189</v>
      </c>
      <c r="J6169" t="s">
        <v>914</v>
      </c>
      <c r="K6169" t="s">
        <v>63</v>
      </c>
      <c r="L6169">
        <v>3600017100</v>
      </c>
    </row>
    <row r="6170" spans="3:12">
      <c r="C6170">
        <v>2100300025</v>
      </c>
      <c r="D6170">
        <v>6426000</v>
      </c>
      <c r="E6170" t="s">
        <v>188</v>
      </c>
      <c r="F6170">
        <v>5102010199</v>
      </c>
      <c r="G6170">
        <v>340</v>
      </c>
      <c r="I6170" t="s">
        <v>189</v>
      </c>
      <c r="J6170" t="s">
        <v>918</v>
      </c>
      <c r="K6170" t="s">
        <v>151</v>
      </c>
      <c r="L6170">
        <v>3600019642</v>
      </c>
    </row>
    <row r="6171" spans="3:12">
      <c r="C6171">
        <v>2100300025</v>
      </c>
      <c r="D6171">
        <v>6426000</v>
      </c>
      <c r="E6171" t="s">
        <v>188</v>
      </c>
      <c r="F6171">
        <v>5103010102</v>
      </c>
      <c r="G6171">
        <v>240</v>
      </c>
      <c r="I6171" t="s">
        <v>189</v>
      </c>
      <c r="J6171" t="s">
        <v>918</v>
      </c>
      <c r="K6171" t="s">
        <v>63</v>
      </c>
      <c r="L6171">
        <v>3600019642</v>
      </c>
    </row>
    <row r="6172" spans="3:12">
      <c r="C6172">
        <v>2100300025</v>
      </c>
      <c r="D6172">
        <v>6426000</v>
      </c>
      <c r="E6172" t="s">
        <v>188</v>
      </c>
      <c r="F6172">
        <v>5102010199</v>
      </c>
      <c r="G6172">
        <v>765</v>
      </c>
      <c r="I6172" t="s">
        <v>189</v>
      </c>
      <c r="J6172" t="s">
        <v>829</v>
      </c>
      <c r="K6172" t="s">
        <v>151</v>
      </c>
      <c r="L6172">
        <v>3600022014</v>
      </c>
    </row>
    <row r="6173" spans="3:12">
      <c r="C6173">
        <v>2100300025</v>
      </c>
      <c r="D6173">
        <v>6426000</v>
      </c>
      <c r="E6173" t="s">
        <v>188</v>
      </c>
      <c r="F6173">
        <v>5102010199</v>
      </c>
      <c r="G6173" s="13">
        <v>6490</v>
      </c>
      <c r="I6173" t="s">
        <v>189</v>
      </c>
      <c r="J6173" t="s">
        <v>924</v>
      </c>
      <c r="K6173" t="s">
        <v>151</v>
      </c>
      <c r="L6173">
        <v>3600021946</v>
      </c>
    </row>
    <row r="6174" spans="3:12">
      <c r="C6174">
        <v>2100300025</v>
      </c>
      <c r="D6174">
        <v>6426000</v>
      </c>
      <c r="E6174" t="s">
        <v>188</v>
      </c>
      <c r="F6174">
        <v>5103010102</v>
      </c>
      <c r="G6174">
        <v>360</v>
      </c>
      <c r="I6174" t="s">
        <v>189</v>
      </c>
      <c r="J6174" t="s">
        <v>924</v>
      </c>
      <c r="K6174" t="s">
        <v>63</v>
      </c>
      <c r="L6174">
        <v>3600021946</v>
      </c>
    </row>
    <row r="6175" spans="3:12">
      <c r="C6175">
        <v>2100300025</v>
      </c>
      <c r="D6175">
        <v>6426000</v>
      </c>
      <c r="E6175" t="s">
        <v>188</v>
      </c>
      <c r="F6175">
        <v>5102010199</v>
      </c>
      <c r="G6175">
        <v>525</v>
      </c>
      <c r="I6175" t="s">
        <v>189</v>
      </c>
      <c r="J6175" t="s">
        <v>928</v>
      </c>
      <c r="K6175" t="s">
        <v>151</v>
      </c>
      <c r="L6175">
        <v>3600021252</v>
      </c>
    </row>
    <row r="6176" spans="3:12">
      <c r="C6176">
        <v>2100300025</v>
      </c>
      <c r="D6176">
        <v>6426000</v>
      </c>
      <c r="E6176" t="s">
        <v>188</v>
      </c>
      <c r="F6176">
        <v>5102010199</v>
      </c>
      <c r="G6176" s="13">
        <v>1880</v>
      </c>
      <c r="I6176" t="s">
        <v>189</v>
      </c>
      <c r="J6176" t="s">
        <v>563</v>
      </c>
      <c r="K6176" t="s">
        <v>151</v>
      </c>
      <c r="L6176">
        <v>3600022947</v>
      </c>
    </row>
    <row r="6177" spans="3:12">
      <c r="C6177">
        <v>2100300025</v>
      </c>
      <c r="D6177">
        <v>6426000</v>
      </c>
      <c r="E6177" t="s">
        <v>188</v>
      </c>
      <c r="F6177">
        <v>5102010199</v>
      </c>
      <c r="G6177" s="13">
        <v>20850</v>
      </c>
      <c r="I6177" t="s">
        <v>189</v>
      </c>
      <c r="J6177" t="s">
        <v>932</v>
      </c>
      <c r="K6177" t="s">
        <v>151</v>
      </c>
      <c r="L6177">
        <v>3600021985</v>
      </c>
    </row>
    <row r="6178" spans="3:12">
      <c r="C6178">
        <v>2100300025</v>
      </c>
      <c r="D6178">
        <v>6426000</v>
      </c>
      <c r="E6178" t="s">
        <v>188</v>
      </c>
      <c r="F6178">
        <v>5102010199</v>
      </c>
      <c r="G6178" s="13">
        <v>3400</v>
      </c>
      <c r="I6178" t="s">
        <v>189</v>
      </c>
      <c r="J6178" t="s">
        <v>836</v>
      </c>
      <c r="K6178" t="s">
        <v>151</v>
      </c>
      <c r="L6178">
        <v>3600024046</v>
      </c>
    </row>
    <row r="6179" spans="3:12">
      <c r="C6179">
        <v>2100300025</v>
      </c>
      <c r="D6179">
        <v>6426000</v>
      </c>
      <c r="E6179" t="s">
        <v>188</v>
      </c>
      <c r="F6179">
        <v>5102010199</v>
      </c>
      <c r="G6179" s="13">
        <v>3500</v>
      </c>
      <c r="I6179" t="s">
        <v>189</v>
      </c>
      <c r="J6179" t="s">
        <v>936</v>
      </c>
      <c r="K6179" t="s">
        <v>151</v>
      </c>
      <c r="L6179">
        <v>3600025904</v>
      </c>
    </row>
    <row r="6180" spans="3:12">
      <c r="C6180">
        <v>2100300025</v>
      </c>
      <c r="D6180">
        <v>6426000</v>
      </c>
      <c r="E6180" t="s">
        <v>188</v>
      </c>
      <c r="F6180">
        <v>5102010199</v>
      </c>
      <c r="G6180" s="13">
        <v>2000</v>
      </c>
      <c r="I6180" t="s">
        <v>189</v>
      </c>
      <c r="J6180" t="s">
        <v>938</v>
      </c>
      <c r="K6180" t="s">
        <v>151</v>
      </c>
      <c r="L6180">
        <v>3600025557</v>
      </c>
    </row>
    <row r="6181" spans="3:12">
      <c r="C6181">
        <v>2100300025</v>
      </c>
      <c r="D6181">
        <v>6426000</v>
      </c>
      <c r="E6181" t="s">
        <v>188</v>
      </c>
      <c r="F6181">
        <v>5102010199</v>
      </c>
      <c r="G6181" s="13">
        <v>13364</v>
      </c>
      <c r="I6181" t="s">
        <v>189</v>
      </c>
      <c r="J6181" t="s">
        <v>941</v>
      </c>
      <c r="K6181" t="s">
        <v>151</v>
      </c>
      <c r="L6181">
        <v>3600027144</v>
      </c>
    </row>
    <row r="6182" spans="3:12">
      <c r="C6182">
        <v>2100300025</v>
      </c>
      <c r="D6182">
        <v>6426000</v>
      </c>
      <c r="E6182" t="s">
        <v>188</v>
      </c>
      <c r="F6182">
        <v>5102010199</v>
      </c>
      <c r="G6182" s="13">
        <v>1000</v>
      </c>
      <c r="I6182" t="s">
        <v>189</v>
      </c>
      <c r="J6182" t="s">
        <v>841</v>
      </c>
      <c r="K6182" t="s">
        <v>151</v>
      </c>
      <c r="L6182">
        <v>3600028453</v>
      </c>
    </row>
    <row r="6183" spans="3:12">
      <c r="C6183">
        <v>2100300025</v>
      </c>
      <c r="D6183">
        <v>6426000</v>
      </c>
      <c r="E6183" t="s">
        <v>188</v>
      </c>
      <c r="F6183">
        <v>5102010199</v>
      </c>
      <c r="G6183" s="13">
        <v>24412.9</v>
      </c>
      <c r="I6183" t="s">
        <v>189</v>
      </c>
      <c r="J6183" t="s">
        <v>942</v>
      </c>
      <c r="K6183" t="s">
        <v>151</v>
      </c>
      <c r="L6183">
        <v>3600026688</v>
      </c>
    </row>
    <row r="6184" spans="3:12">
      <c r="C6184">
        <v>2100300025</v>
      </c>
      <c r="D6184">
        <v>6426000</v>
      </c>
      <c r="E6184" t="s">
        <v>188</v>
      </c>
      <c r="F6184">
        <v>5102010199</v>
      </c>
      <c r="G6184">
        <v>500</v>
      </c>
      <c r="I6184" t="s">
        <v>189</v>
      </c>
      <c r="J6184" t="s">
        <v>947</v>
      </c>
      <c r="K6184" t="s">
        <v>151</v>
      </c>
      <c r="L6184">
        <v>3600029970</v>
      </c>
    </row>
    <row r="6185" spans="3:12">
      <c r="C6185">
        <v>2100300025</v>
      </c>
      <c r="D6185">
        <v>6426000</v>
      </c>
      <c r="E6185" t="s">
        <v>188</v>
      </c>
      <c r="F6185">
        <v>5102010199</v>
      </c>
      <c r="G6185" s="13">
        <v>15747</v>
      </c>
      <c r="I6185" t="s">
        <v>189</v>
      </c>
      <c r="J6185" t="s">
        <v>946</v>
      </c>
      <c r="K6185" t="s">
        <v>151</v>
      </c>
      <c r="L6185">
        <v>3600030388</v>
      </c>
    </row>
    <row r="6186" spans="3:12">
      <c r="C6186">
        <v>2100300025</v>
      </c>
      <c r="D6186">
        <v>6426000</v>
      </c>
      <c r="E6186" t="s">
        <v>188</v>
      </c>
      <c r="F6186">
        <v>5102010199</v>
      </c>
      <c r="G6186">
        <v>125</v>
      </c>
      <c r="I6186" t="s">
        <v>189</v>
      </c>
      <c r="J6186" t="s">
        <v>948</v>
      </c>
      <c r="K6186" t="s">
        <v>151</v>
      </c>
      <c r="L6186">
        <v>3600028916</v>
      </c>
    </row>
    <row r="6187" spans="3:12">
      <c r="C6187">
        <v>2100300025</v>
      </c>
      <c r="D6187">
        <v>6426000</v>
      </c>
      <c r="E6187" t="s">
        <v>188</v>
      </c>
      <c r="F6187">
        <v>5102010199</v>
      </c>
      <c r="G6187" s="13">
        <v>5820</v>
      </c>
      <c r="I6187" t="s">
        <v>189</v>
      </c>
      <c r="J6187" t="s">
        <v>846</v>
      </c>
      <c r="K6187" t="s">
        <v>151</v>
      </c>
      <c r="L6187">
        <v>3600029838</v>
      </c>
    </row>
    <row r="6188" spans="3:12">
      <c r="C6188">
        <v>2100300025</v>
      </c>
      <c r="D6188">
        <v>6426000</v>
      </c>
      <c r="E6188" t="s">
        <v>188</v>
      </c>
      <c r="F6188">
        <v>5102010199</v>
      </c>
      <c r="G6188" s="13">
        <v>2500</v>
      </c>
      <c r="I6188" t="s">
        <v>189</v>
      </c>
      <c r="J6188" t="s">
        <v>961</v>
      </c>
      <c r="K6188" t="s">
        <v>151</v>
      </c>
      <c r="L6188">
        <v>3600031940</v>
      </c>
    </row>
    <row r="6189" spans="3:12">
      <c r="C6189">
        <v>2100300025</v>
      </c>
      <c r="D6189">
        <v>6426000</v>
      </c>
      <c r="E6189" t="s">
        <v>188</v>
      </c>
      <c r="F6189">
        <v>5103010102</v>
      </c>
      <c r="G6189">
        <v>400</v>
      </c>
      <c r="I6189" t="s">
        <v>189</v>
      </c>
      <c r="J6189" t="s">
        <v>961</v>
      </c>
      <c r="K6189" t="s">
        <v>63</v>
      </c>
      <c r="L6189">
        <v>3600031940</v>
      </c>
    </row>
    <row r="6190" spans="3:12">
      <c r="C6190">
        <v>2100300025</v>
      </c>
      <c r="D6190">
        <v>6426000</v>
      </c>
      <c r="E6190" t="s">
        <v>188</v>
      </c>
      <c r="F6190">
        <v>5102010199</v>
      </c>
      <c r="G6190" s="13">
        <v>6000</v>
      </c>
      <c r="I6190" t="s">
        <v>189</v>
      </c>
      <c r="J6190" t="s">
        <v>972</v>
      </c>
      <c r="K6190" t="s">
        <v>151</v>
      </c>
      <c r="L6190">
        <v>3600035802</v>
      </c>
    </row>
    <row r="6191" spans="3:12">
      <c r="C6191">
        <v>2100300025</v>
      </c>
      <c r="D6191">
        <v>6426000</v>
      </c>
      <c r="E6191" t="s">
        <v>188</v>
      </c>
      <c r="F6191">
        <v>5102010199</v>
      </c>
      <c r="G6191">
        <v>100</v>
      </c>
      <c r="I6191" t="s">
        <v>189</v>
      </c>
      <c r="J6191" t="s">
        <v>861</v>
      </c>
      <c r="K6191" t="s">
        <v>151</v>
      </c>
      <c r="L6191">
        <v>3600034885</v>
      </c>
    </row>
    <row r="6192" spans="3:12">
      <c r="C6192">
        <v>2100300025</v>
      </c>
      <c r="D6192">
        <v>6426000</v>
      </c>
      <c r="E6192" t="s">
        <v>188</v>
      </c>
      <c r="F6192">
        <v>5102010199</v>
      </c>
      <c r="G6192" s="13">
        <v>1160</v>
      </c>
      <c r="I6192" t="s">
        <v>189</v>
      </c>
      <c r="J6192" t="s">
        <v>987</v>
      </c>
      <c r="K6192" t="s">
        <v>151</v>
      </c>
      <c r="L6192">
        <v>3600040893</v>
      </c>
    </row>
    <row r="6193" spans="3:12">
      <c r="C6193">
        <v>2100300025</v>
      </c>
      <c r="D6193">
        <v>6426000</v>
      </c>
      <c r="E6193" t="s">
        <v>188</v>
      </c>
      <c r="F6193">
        <v>5102010199</v>
      </c>
      <c r="G6193" s="13">
        <v>4718</v>
      </c>
      <c r="I6193" t="s">
        <v>189</v>
      </c>
      <c r="J6193" t="s">
        <v>985</v>
      </c>
      <c r="K6193" t="s">
        <v>151</v>
      </c>
      <c r="L6193">
        <v>3600041033</v>
      </c>
    </row>
    <row r="6194" spans="3:12">
      <c r="C6194">
        <v>2100300025</v>
      </c>
      <c r="D6194">
        <v>6426000</v>
      </c>
      <c r="E6194" t="s">
        <v>188</v>
      </c>
      <c r="F6194">
        <v>5102010199</v>
      </c>
      <c r="G6194" s="13">
        <v>91800</v>
      </c>
      <c r="I6194" t="s">
        <v>189</v>
      </c>
      <c r="J6194" t="s">
        <v>980</v>
      </c>
      <c r="K6194" t="s">
        <v>151</v>
      </c>
      <c r="L6194">
        <v>3600040987</v>
      </c>
    </row>
    <row r="6195" spans="3:12">
      <c r="C6195">
        <v>2100300025</v>
      </c>
      <c r="D6195">
        <v>6426000</v>
      </c>
      <c r="E6195" t="s">
        <v>188</v>
      </c>
      <c r="F6195">
        <v>5103010102</v>
      </c>
      <c r="G6195">
        <v>960</v>
      </c>
      <c r="I6195" t="s">
        <v>189</v>
      </c>
      <c r="J6195" t="s">
        <v>883</v>
      </c>
      <c r="K6195" t="s">
        <v>63</v>
      </c>
      <c r="L6195">
        <v>3600005801</v>
      </c>
    </row>
    <row r="6196" spans="3:12">
      <c r="C6196">
        <v>2100300025</v>
      </c>
      <c r="D6196">
        <v>6426000</v>
      </c>
      <c r="E6196" t="s">
        <v>188</v>
      </c>
      <c r="F6196">
        <v>5103010102</v>
      </c>
      <c r="G6196">
        <v>240</v>
      </c>
      <c r="I6196" t="s">
        <v>189</v>
      </c>
      <c r="J6196" t="s">
        <v>893</v>
      </c>
      <c r="K6196" t="s">
        <v>63</v>
      </c>
      <c r="L6196">
        <v>3600012222</v>
      </c>
    </row>
    <row r="6197" spans="3:12">
      <c r="C6197">
        <v>2100300025</v>
      </c>
      <c r="D6197">
        <v>6426000</v>
      </c>
      <c r="E6197" t="s">
        <v>188</v>
      </c>
      <c r="F6197">
        <v>5103010102</v>
      </c>
      <c r="G6197" s="13">
        <v>1200</v>
      </c>
      <c r="I6197" t="s">
        <v>189</v>
      </c>
      <c r="J6197" t="s">
        <v>926</v>
      </c>
      <c r="K6197" t="s">
        <v>63</v>
      </c>
      <c r="L6197">
        <v>3600022741</v>
      </c>
    </row>
    <row r="6198" spans="3:12">
      <c r="C6198">
        <v>2100300025</v>
      </c>
      <c r="D6198">
        <v>6426000</v>
      </c>
      <c r="E6198" t="s">
        <v>188</v>
      </c>
      <c r="F6198">
        <v>5102010199</v>
      </c>
      <c r="G6198" s="13">
        <v>1500</v>
      </c>
      <c r="I6198" t="s">
        <v>189</v>
      </c>
      <c r="J6198" t="s">
        <v>954</v>
      </c>
      <c r="K6198" t="s">
        <v>151</v>
      </c>
      <c r="L6198">
        <v>3600029252</v>
      </c>
    </row>
    <row r="6199" spans="3:12">
      <c r="C6199">
        <v>2100300025</v>
      </c>
      <c r="D6199">
        <v>6426000</v>
      </c>
      <c r="E6199" t="s">
        <v>188</v>
      </c>
      <c r="F6199">
        <v>5102030199</v>
      </c>
      <c r="G6199">
        <v>200</v>
      </c>
      <c r="I6199" t="s">
        <v>189</v>
      </c>
      <c r="J6199" t="s">
        <v>801</v>
      </c>
      <c r="K6199" t="s">
        <v>1047</v>
      </c>
      <c r="L6199">
        <v>3600020645</v>
      </c>
    </row>
    <row r="6200" spans="3:12">
      <c r="C6200">
        <v>2100300025</v>
      </c>
      <c r="D6200">
        <v>6426000</v>
      </c>
      <c r="E6200" t="s">
        <v>188</v>
      </c>
      <c r="F6200">
        <v>5103010103</v>
      </c>
      <c r="G6200">
        <v>727</v>
      </c>
      <c r="I6200" t="s">
        <v>189</v>
      </c>
      <c r="J6200" t="s">
        <v>881</v>
      </c>
      <c r="K6200" t="s">
        <v>65</v>
      </c>
      <c r="L6200">
        <v>3600000508</v>
      </c>
    </row>
    <row r="6201" spans="3:12">
      <c r="C6201">
        <v>2100300025</v>
      </c>
      <c r="D6201">
        <v>6426000</v>
      </c>
      <c r="E6201" t="s">
        <v>188</v>
      </c>
      <c r="F6201">
        <v>5103010103</v>
      </c>
      <c r="G6201" s="13">
        <v>3290</v>
      </c>
      <c r="I6201" t="s">
        <v>189</v>
      </c>
      <c r="J6201" t="s">
        <v>892</v>
      </c>
      <c r="K6201" t="s">
        <v>65</v>
      </c>
      <c r="L6201">
        <v>3600009026</v>
      </c>
    </row>
    <row r="6202" spans="3:12">
      <c r="C6202">
        <v>2100300025</v>
      </c>
      <c r="D6202">
        <v>6426000</v>
      </c>
      <c r="E6202" t="s">
        <v>188</v>
      </c>
      <c r="F6202">
        <v>5103010103</v>
      </c>
      <c r="G6202" s="13">
        <v>1400</v>
      </c>
      <c r="I6202" t="s">
        <v>189</v>
      </c>
      <c r="J6202" t="s">
        <v>899</v>
      </c>
      <c r="K6202" t="s">
        <v>65</v>
      </c>
      <c r="L6202">
        <v>3600009324</v>
      </c>
    </row>
    <row r="6203" spans="3:12">
      <c r="C6203">
        <v>2100300025</v>
      </c>
      <c r="D6203">
        <v>6426000</v>
      </c>
      <c r="E6203" t="s">
        <v>188</v>
      </c>
      <c r="F6203">
        <v>5103010103</v>
      </c>
      <c r="G6203" s="13">
        <v>1600</v>
      </c>
      <c r="I6203" t="s">
        <v>189</v>
      </c>
      <c r="J6203" t="s">
        <v>918</v>
      </c>
      <c r="K6203" t="s">
        <v>65</v>
      </c>
      <c r="L6203">
        <v>3600019642</v>
      </c>
    </row>
    <row r="6204" spans="3:12">
      <c r="C6204">
        <v>2100300025</v>
      </c>
      <c r="D6204">
        <v>6426000</v>
      </c>
      <c r="E6204" t="s">
        <v>188</v>
      </c>
      <c r="F6204">
        <v>5103010103</v>
      </c>
      <c r="G6204" s="13">
        <v>1800</v>
      </c>
      <c r="I6204" t="s">
        <v>189</v>
      </c>
      <c r="J6204" t="s">
        <v>924</v>
      </c>
      <c r="K6204" t="s">
        <v>65</v>
      </c>
      <c r="L6204">
        <v>3600021946</v>
      </c>
    </row>
    <row r="6205" spans="3:12">
      <c r="C6205">
        <v>2100300025</v>
      </c>
      <c r="D6205">
        <v>6426000</v>
      </c>
      <c r="E6205" t="s">
        <v>188</v>
      </c>
      <c r="F6205">
        <v>5103010199</v>
      </c>
      <c r="G6205" s="13">
        <v>7737</v>
      </c>
      <c r="I6205" t="s">
        <v>189</v>
      </c>
      <c r="J6205" t="s">
        <v>881</v>
      </c>
      <c r="K6205" t="s">
        <v>152</v>
      </c>
      <c r="L6205">
        <v>3600000508</v>
      </c>
    </row>
    <row r="6206" spans="3:12">
      <c r="C6206">
        <v>2100300025</v>
      </c>
      <c r="D6206">
        <v>6426000</v>
      </c>
      <c r="E6206" t="s">
        <v>188</v>
      </c>
      <c r="F6206">
        <v>5103010199</v>
      </c>
      <c r="G6206" s="13">
        <v>3520</v>
      </c>
      <c r="I6206" t="s">
        <v>189</v>
      </c>
      <c r="J6206" t="s">
        <v>810</v>
      </c>
      <c r="K6206" t="s">
        <v>152</v>
      </c>
      <c r="L6206">
        <v>3600005627</v>
      </c>
    </row>
    <row r="6207" spans="3:12">
      <c r="C6207">
        <v>2100300025</v>
      </c>
      <c r="D6207">
        <v>6426000</v>
      </c>
      <c r="E6207" t="s">
        <v>188</v>
      </c>
      <c r="F6207">
        <v>5103010199</v>
      </c>
      <c r="G6207" s="13">
        <v>4680</v>
      </c>
      <c r="I6207" t="s">
        <v>189</v>
      </c>
      <c r="J6207" t="s">
        <v>883</v>
      </c>
      <c r="K6207" t="s">
        <v>152</v>
      </c>
      <c r="L6207">
        <v>3600005801</v>
      </c>
    </row>
    <row r="6208" spans="3:12">
      <c r="C6208">
        <v>2100300025</v>
      </c>
      <c r="D6208">
        <v>6426000</v>
      </c>
      <c r="E6208" t="s">
        <v>188</v>
      </c>
      <c r="F6208">
        <v>5103010199</v>
      </c>
      <c r="G6208">
        <v>984</v>
      </c>
      <c r="I6208" t="s">
        <v>189</v>
      </c>
      <c r="J6208" t="s">
        <v>808</v>
      </c>
      <c r="K6208" t="s">
        <v>152</v>
      </c>
      <c r="L6208">
        <v>3600004588</v>
      </c>
    </row>
    <row r="6209" spans="3:12">
      <c r="C6209">
        <v>2100300025</v>
      </c>
      <c r="D6209">
        <v>6426000</v>
      </c>
      <c r="E6209" t="s">
        <v>188</v>
      </c>
      <c r="F6209">
        <v>5103010199</v>
      </c>
      <c r="G6209" s="13">
        <v>18540</v>
      </c>
      <c r="I6209" t="s">
        <v>189</v>
      </c>
      <c r="J6209" t="s">
        <v>892</v>
      </c>
      <c r="K6209" t="s">
        <v>152</v>
      </c>
      <c r="L6209">
        <v>3600009026</v>
      </c>
    </row>
    <row r="6210" spans="3:12">
      <c r="C6210">
        <v>2100300025</v>
      </c>
      <c r="D6210">
        <v>6426000</v>
      </c>
      <c r="E6210" t="s">
        <v>188</v>
      </c>
      <c r="F6210">
        <v>5103010199</v>
      </c>
      <c r="G6210" s="13">
        <v>6800</v>
      </c>
      <c r="I6210" t="s">
        <v>189</v>
      </c>
      <c r="J6210" t="s">
        <v>871</v>
      </c>
      <c r="K6210" t="s">
        <v>152</v>
      </c>
      <c r="L6210">
        <v>3600010887</v>
      </c>
    </row>
    <row r="6211" spans="3:12">
      <c r="C6211">
        <v>2100300025</v>
      </c>
      <c r="D6211">
        <v>6426000</v>
      </c>
      <c r="E6211" t="s">
        <v>188</v>
      </c>
      <c r="F6211">
        <v>5103010199</v>
      </c>
      <c r="G6211" s="13">
        <v>2252</v>
      </c>
      <c r="I6211" t="s">
        <v>189</v>
      </c>
      <c r="J6211" t="s">
        <v>894</v>
      </c>
      <c r="K6211" t="s">
        <v>152</v>
      </c>
      <c r="L6211">
        <v>3600011390</v>
      </c>
    </row>
    <row r="6212" spans="3:12">
      <c r="C6212">
        <v>2100300025</v>
      </c>
      <c r="D6212">
        <v>6426000</v>
      </c>
      <c r="E6212" t="s">
        <v>188</v>
      </c>
      <c r="F6212">
        <v>5103010199</v>
      </c>
      <c r="G6212" s="13">
        <v>12186</v>
      </c>
      <c r="I6212" t="s">
        <v>189</v>
      </c>
      <c r="J6212" t="s">
        <v>899</v>
      </c>
      <c r="K6212" t="s">
        <v>152</v>
      </c>
      <c r="L6212">
        <v>3600009324</v>
      </c>
    </row>
    <row r="6213" spans="3:12">
      <c r="C6213">
        <v>2100300025</v>
      </c>
      <c r="D6213">
        <v>6426000</v>
      </c>
      <c r="E6213" t="s">
        <v>188</v>
      </c>
      <c r="F6213">
        <v>5103010199</v>
      </c>
      <c r="G6213" s="13">
        <v>3696</v>
      </c>
      <c r="I6213" t="s">
        <v>189</v>
      </c>
      <c r="J6213" t="s">
        <v>918</v>
      </c>
      <c r="K6213" t="s">
        <v>152</v>
      </c>
      <c r="L6213">
        <v>3600019642</v>
      </c>
    </row>
    <row r="6214" spans="3:12">
      <c r="C6214">
        <v>2100300025</v>
      </c>
      <c r="D6214">
        <v>6426000</v>
      </c>
      <c r="E6214" t="s">
        <v>188</v>
      </c>
      <c r="F6214">
        <v>5103010199</v>
      </c>
      <c r="G6214" s="13">
        <v>3450</v>
      </c>
      <c r="I6214" t="s">
        <v>189</v>
      </c>
      <c r="J6214" t="s">
        <v>922</v>
      </c>
      <c r="K6214" t="s">
        <v>152</v>
      </c>
      <c r="L6214">
        <v>3600020181</v>
      </c>
    </row>
    <row r="6215" spans="3:12">
      <c r="C6215">
        <v>2100300025</v>
      </c>
      <c r="D6215">
        <v>6426000</v>
      </c>
      <c r="E6215" t="s">
        <v>188</v>
      </c>
      <c r="F6215">
        <v>5103010199</v>
      </c>
      <c r="G6215" s="13">
        <v>6350</v>
      </c>
      <c r="I6215" t="s">
        <v>189</v>
      </c>
      <c r="J6215" t="s">
        <v>924</v>
      </c>
      <c r="K6215" t="s">
        <v>152</v>
      </c>
      <c r="L6215">
        <v>3600021946</v>
      </c>
    </row>
    <row r="6216" spans="3:12">
      <c r="C6216">
        <v>2100300025</v>
      </c>
      <c r="D6216">
        <v>6426000</v>
      </c>
      <c r="E6216" t="s">
        <v>188</v>
      </c>
      <c r="F6216">
        <v>5103010199</v>
      </c>
      <c r="G6216" s="13">
        <v>1000</v>
      </c>
      <c r="I6216" t="s">
        <v>189</v>
      </c>
      <c r="J6216" t="s">
        <v>948</v>
      </c>
      <c r="K6216" t="s">
        <v>152</v>
      </c>
      <c r="L6216">
        <v>3600028916</v>
      </c>
    </row>
    <row r="6217" spans="3:12">
      <c r="C6217">
        <v>2100300025</v>
      </c>
      <c r="D6217">
        <v>6426000</v>
      </c>
      <c r="E6217" t="s">
        <v>188</v>
      </c>
      <c r="F6217">
        <v>5103010199</v>
      </c>
      <c r="G6217">
        <v>800</v>
      </c>
      <c r="I6217" t="s">
        <v>189</v>
      </c>
      <c r="J6217" t="s">
        <v>961</v>
      </c>
      <c r="K6217" t="s">
        <v>152</v>
      </c>
      <c r="L6217">
        <v>3600031940</v>
      </c>
    </row>
    <row r="6218" spans="3:12">
      <c r="C6218">
        <v>2100300025</v>
      </c>
      <c r="D6218">
        <v>6426000</v>
      </c>
      <c r="E6218" t="s">
        <v>188</v>
      </c>
      <c r="F6218">
        <v>5104010104</v>
      </c>
      <c r="G6218" s="13">
        <v>15836</v>
      </c>
      <c r="I6218" t="s">
        <v>189</v>
      </c>
      <c r="J6218" t="s">
        <v>808</v>
      </c>
      <c r="K6218" t="s">
        <v>69</v>
      </c>
      <c r="L6218">
        <v>3600004588</v>
      </c>
    </row>
    <row r="6219" spans="3:12">
      <c r="C6219">
        <v>2100300025</v>
      </c>
      <c r="D6219">
        <v>6426000</v>
      </c>
      <c r="E6219" t="s">
        <v>188</v>
      </c>
      <c r="F6219">
        <v>5104010104</v>
      </c>
      <c r="G6219" s="13">
        <v>82069</v>
      </c>
      <c r="I6219" t="s">
        <v>189</v>
      </c>
      <c r="J6219" t="s">
        <v>889</v>
      </c>
      <c r="K6219" t="s">
        <v>69</v>
      </c>
      <c r="L6219">
        <v>3600006422</v>
      </c>
    </row>
    <row r="6220" spans="3:12">
      <c r="C6220">
        <v>2100300025</v>
      </c>
      <c r="D6220">
        <v>6426000</v>
      </c>
      <c r="E6220" t="s">
        <v>188</v>
      </c>
      <c r="F6220">
        <v>5104010104</v>
      </c>
      <c r="G6220" s="13">
        <v>42800</v>
      </c>
      <c r="I6220" t="s">
        <v>189</v>
      </c>
      <c r="J6220" t="s">
        <v>892</v>
      </c>
      <c r="K6220" t="s">
        <v>69</v>
      </c>
      <c r="L6220">
        <v>3600009026</v>
      </c>
    </row>
    <row r="6221" spans="3:12">
      <c r="C6221">
        <v>2100300025</v>
      </c>
      <c r="D6221">
        <v>6426000</v>
      </c>
      <c r="E6221" t="s">
        <v>188</v>
      </c>
      <c r="F6221">
        <v>5104010104</v>
      </c>
      <c r="G6221" s="13">
        <v>25145</v>
      </c>
      <c r="I6221" t="s">
        <v>189</v>
      </c>
      <c r="J6221" t="s">
        <v>893</v>
      </c>
      <c r="K6221" t="s">
        <v>69</v>
      </c>
      <c r="L6221">
        <v>3600012222</v>
      </c>
    </row>
    <row r="6222" spans="3:12">
      <c r="C6222">
        <v>2100300025</v>
      </c>
      <c r="D6222">
        <v>6426000</v>
      </c>
      <c r="E6222" t="s">
        <v>188</v>
      </c>
      <c r="F6222">
        <v>5104010104</v>
      </c>
      <c r="G6222" s="13">
        <v>22042</v>
      </c>
      <c r="I6222" t="s">
        <v>189</v>
      </c>
      <c r="J6222" t="s">
        <v>899</v>
      </c>
      <c r="K6222" t="s">
        <v>69</v>
      </c>
      <c r="L6222">
        <v>3600009324</v>
      </c>
    </row>
    <row r="6223" spans="3:12">
      <c r="C6223">
        <v>2100300025</v>
      </c>
      <c r="D6223">
        <v>6426000</v>
      </c>
      <c r="E6223" t="s">
        <v>188</v>
      </c>
      <c r="F6223">
        <v>5102010199</v>
      </c>
      <c r="G6223" s="13">
        <v>9390</v>
      </c>
      <c r="I6223" t="s">
        <v>189</v>
      </c>
      <c r="J6223" t="s">
        <v>957</v>
      </c>
      <c r="K6223" t="s">
        <v>151</v>
      </c>
      <c r="L6223">
        <v>3600030765</v>
      </c>
    </row>
    <row r="6224" spans="3:12">
      <c r="C6224">
        <v>2100300025</v>
      </c>
      <c r="D6224">
        <v>6426000</v>
      </c>
      <c r="E6224" t="s">
        <v>188</v>
      </c>
      <c r="F6224">
        <v>5102010199</v>
      </c>
      <c r="G6224" s="13">
        <v>15805</v>
      </c>
      <c r="I6224" t="s">
        <v>189</v>
      </c>
      <c r="J6224" t="s">
        <v>958</v>
      </c>
      <c r="K6224" t="s">
        <v>151</v>
      </c>
      <c r="L6224">
        <v>3600032095</v>
      </c>
    </row>
    <row r="6225" spans="3:12">
      <c r="C6225">
        <v>2100300025</v>
      </c>
      <c r="D6225">
        <v>6426000</v>
      </c>
      <c r="E6225" t="s">
        <v>188</v>
      </c>
      <c r="F6225">
        <v>5102010199</v>
      </c>
      <c r="G6225" s="13">
        <v>12800</v>
      </c>
      <c r="I6225" t="s">
        <v>189</v>
      </c>
      <c r="J6225" t="s">
        <v>959</v>
      </c>
      <c r="K6225" t="s">
        <v>151</v>
      </c>
      <c r="L6225">
        <v>3600031960</v>
      </c>
    </row>
    <row r="6226" spans="3:12">
      <c r="C6226">
        <v>2100300025</v>
      </c>
      <c r="D6226">
        <v>6426000</v>
      </c>
      <c r="E6226" t="s">
        <v>188</v>
      </c>
      <c r="F6226">
        <v>5103010102</v>
      </c>
      <c r="G6226" s="13">
        <v>2160</v>
      </c>
      <c r="I6226" t="s">
        <v>189</v>
      </c>
      <c r="J6226" t="s">
        <v>959</v>
      </c>
      <c r="K6226" t="s">
        <v>63</v>
      </c>
      <c r="L6226">
        <v>3600031960</v>
      </c>
    </row>
    <row r="6227" spans="3:12">
      <c r="C6227">
        <v>2100300025</v>
      </c>
      <c r="D6227">
        <v>6426000</v>
      </c>
      <c r="E6227" t="s">
        <v>188</v>
      </c>
      <c r="F6227">
        <v>5103010103</v>
      </c>
      <c r="G6227" s="13">
        <v>6360</v>
      </c>
      <c r="I6227" t="s">
        <v>189</v>
      </c>
      <c r="J6227" t="s">
        <v>959</v>
      </c>
      <c r="K6227" t="s">
        <v>65</v>
      </c>
      <c r="L6227">
        <v>3600031960</v>
      </c>
    </row>
    <row r="6228" spans="3:12">
      <c r="C6228">
        <v>2100300025</v>
      </c>
      <c r="D6228">
        <v>6426000</v>
      </c>
      <c r="E6228" t="s">
        <v>188</v>
      </c>
      <c r="F6228">
        <v>5103010199</v>
      </c>
      <c r="G6228" s="13">
        <v>1860</v>
      </c>
      <c r="I6228" t="s">
        <v>189</v>
      </c>
      <c r="J6228" t="s">
        <v>959</v>
      </c>
      <c r="K6228" t="s">
        <v>152</v>
      </c>
      <c r="L6228">
        <v>3600031960</v>
      </c>
    </row>
    <row r="6229" spans="3:12">
      <c r="C6229">
        <v>2100300025</v>
      </c>
      <c r="D6229">
        <v>6426000</v>
      </c>
      <c r="E6229" t="s">
        <v>188</v>
      </c>
      <c r="F6229">
        <v>5102010199</v>
      </c>
      <c r="G6229" s="13">
        <v>2000</v>
      </c>
      <c r="I6229" t="s">
        <v>189</v>
      </c>
      <c r="J6229" t="s">
        <v>970</v>
      </c>
      <c r="K6229" t="s">
        <v>151</v>
      </c>
      <c r="L6229">
        <v>3600032636</v>
      </c>
    </row>
    <row r="6230" spans="3:12">
      <c r="C6230">
        <v>2100300025</v>
      </c>
      <c r="D6230">
        <v>6426000</v>
      </c>
      <c r="E6230" t="s">
        <v>188</v>
      </c>
      <c r="F6230">
        <v>5102010199</v>
      </c>
      <c r="G6230">
        <v>425</v>
      </c>
      <c r="I6230" t="s">
        <v>189</v>
      </c>
      <c r="J6230" t="s">
        <v>858</v>
      </c>
      <c r="K6230" t="s">
        <v>151</v>
      </c>
      <c r="L6230">
        <v>3600037341</v>
      </c>
    </row>
    <row r="6231" spans="3:12">
      <c r="C6231">
        <v>2100300025</v>
      </c>
      <c r="D6231">
        <v>6426000</v>
      </c>
      <c r="E6231" t="s">
        <v>188</v>
      </c>
      <c r="F6231">
        <v>5102010199</v>
      </c>
      <c r="G6231" s="13">
        <v>12500</v>
      </c>
      <c r="I6231" t="s">
        <v>189</v>
      </c>
      <c r="J6231" t="s">
        <v>859</v>
      </c>
      <c r="K6231" t="s">
        <v>151</v>
      </c>
      <c r="L6231">
        <v>3600023967</v>
      </c>
    </row>
    <row r="6232" spans="3:12">
      <c r="C6232">
        <v>2100300025</v>
      </c>
      <c r="D6232">
        <v>6426000</v>
      </c>
      <c r="E6232" t="s">
        <v>188</v>
      </c>
      <c r="F6232">
        <v>5103010102</v>
      </c>
      <c r="G6232" s="13">
        <v>16470</v>
      </c>
      <c r="I6232" t="s">
        <v>189</v>
      </c>
      <c r="J6232" t="s">
        <v>859</v>
      </c>
      <c r="K6232" t="s">
        <v>63</v>
      </c>
      <c r="L6232">
        <v>3600023967</v>
      </c>
    </row>
    <row r="6233" spans="3:12">
      <c r="C6233">
        <v>2100300025</v>
      </c>
      <c r="D6233">
        <v>6426000</v>
      </c>
      <c r="E6233" t="s">
        <v>188</v>
      </c>
      <c r="F6233">
        <v>5103010103</v>
      </c>
      <c r="G6233" s="13">
        <v>37400</v>
      </c>
      <c r="I6233" t="s">
        <v>189</v>
      </c>
      <c r="J6233" t="s">
        <v>859</v>
      </c>
      <c r="K6233" t="s">
        <v>65</v>
      </c>
      <c r="L6233">
        <v>3600023967</v>
      </c>
    </row>
    <row r="6234" spans="3:12">
      <c r="C6234">
        <v>2100300025</v>
      </c>
      <c r="D6234">
        <v>6426000</v>
      </c>
      <c r="E6234" t="s">
        <v>188</v>
      </c>
      <c r="F6234">
        <v>5103010199</v>
      </c>
      <c r="G6234" s="13">
        <v>16250</v>
      </c>
      <c r="I6234" t="s">
        <v>189</v>
      </c>
      <c r="J6234" t="s">
        <v>859</v>
      </c>
      <c r="K6234" t="s">
        <v>152</v>
      </c>
      <c r="L6234">
        <v>3600023967</v>
      </c>
    </row>
    <row r="6235" spans="3:12">
      <c r="C6235">
        <v>2100300025</v>
      </c>
      <c r="D6235">
        <v>6426000</v>
      </c>
      <c r="E6235" t="s">
        <v>188</v>
      </c>
      <c r="F6235">
        <v>5102010199</v>
      </c>
      <c r="G6235">
        <v>100</v>
      </c>
      <c r="I6235" t="s">
        <v>189</v>
      </c>
      <c r="J6235" t="s">
        <v>861</v>
      </c>
      <c r="K6235" t="s">
        <v>151</v>
      </c>
      <c r="L6235">
        <v>3600030488</v>
      </c>
    </row>
    <row r="6236" spans="3:12">
      <c r="C6236">
        <v>2100300025</v>
      </c>
      <c r="D6236">
        <v>6426000</v>
      </c>
      <c r="E6236" t="s">
        <v>188</v>
      </c>
      <c r="F6236">
        <v>5102010199</v>
      </c>
      <c r="G6236">
        <v>300</v>
      </c>
      <c r="I6236" t="s">
        <v>189</v>
      </c>
      <c r="J6236" t="s">
        <v>979</v>
      </c>
      <c r="K6236" t="s">
        <v>151</v>
      </c>
      <c r="L6236">
        <v>3600037579</v>
      </c>
    </row>
    <row r="6237" spans="3:12">
      <c r="C6237">
        <v>2100300025</v>
      </c>
      <c r="D6237">
        <v>6426000</v>
      </c>
      <c r="E6237" t="s">
        <v>188</v>
      </c>
      <c r="F6237">
        <v>5103010102</v>
      </c>
      <c r="G6237" s="13">
        <v>2910</v>
      </c>
      <c r="I6237" t="s">
        <v>189</v>
      </c>
      <c r="J6237" t="s">
        <v>979</v>
      </c>
      <c r="K6237" t="s">
        <v>63</v>
      </c>
      <c r="L6237">
        <v>3600037579</v>
      </c>
    </row>
    <row r="6238" spans="3:12">
      <c r="C6238">
        <v>2100300025</v>
      </c>
      <c r="D6238">
        <v>6426000</v>
      </c>
      <c r="E6238" t="s">
        <v>188</v>
      </c>
      <c r="F6238">
        <v>5103010103</v>
      </c>
      <c r="G6238" s="13">
        <v>16800</v>
      </c>
      <c r="I6238" t="s">
        <v>189</v>
      </c>
      <c r="J6238" t="s">
        <v>979</v>
      </c>
      <c r="K6238" t="s">
        <v>65</v>
      </c>
      <c r="L6238">
        <v>3600037579</v>
      </c>
    </row>
    <row r="6239" spans="3:12">
      <c r="C6239">
        <v>2100300025</v>
      </c>
      <c r="D6239">
        <v>6426000</v>
      </c>
      <c r="E6239" t="s">
        <v>188</v>
      </c>
      <c r="F6239">
        <v>5103010199</v>
      </c>
      <c r="G6239" s="13">
        <v>8822</v>
      </c>
      <c r="I6239" t="s">
        <v>189</v>
      </c>
      <c r="J6239" t="s">
        <v>979</v>
      </c>
      <c r="K6239" t="s">
        <v>152</v>
      </c>
      <c r="L6239">
        <v>3600037579</v>
      </c>
    </row>
    <row r="6240" spans="3:12">
      <c r="C6240">
        <v>2100300025</v>
      </c>
      <c r="D6240">
        <v>6426000</v>
      </c>
      <c r="E6240" t="s">
        <v>188</v>
      </c>
      <c r="F6240">
        <v>5102010199</v>
      </c>
      <c r="G6240" s="13">
        <v>1550</v>
      </c>
      <c r="I6240" t="s">
        <v>189</v>
      </c>
      <c r="J6240" t="s">
        <v>557</v>
      </c>
      <c r="K6240" t="s">
        <v>151</v>
      </c>
      <c r="L6240">
        <v>3600035186</v>
      </c>
    </row>
    <row r="6241" spans="3:12">
      <c r="C6241">
        <v>2100300025</v>
      </c>
      <c r="D6241">
        <v>6426000</v>
      </c>
      <c r="E6241" t="s">
        <v>188</v>
      </c>
      <c r="F6241">
        <v>5103010102</v>
      </c>
      <c r="G6241" s="13">
        <v>16800</v>
      </c>
      <c r="I6241" t="s">
        <v>189</v>
      </c>
      <c r="J6241" t="s">
        <v>557</v>
      </c>
      <c r="K6241" t="s">
        <v>63</v>
      </c>
      <c r="L6241">
        <v>3600035186</v>
      </c>
    </row>
    <row r="6242" spans="3:12">
      <c r="C6242">
        <v>2100300025</v>
      </c>
      <c r="D6242">
        <v>6426000</v>
      </c>
      <c r="E6242" t="s">
        <v>188</v>
      </c>
      <c r="F6242">
        <v>5103010103</v>
      </c>
      <c r="G6242" s="13">
        <v>49600</v>
      </c>
      <c r="I6242" t="s">
        <v>189</v>
      </c>
      <c r="J6242" t="s">
        <v>557</v>
      </c>
      <c r="K6242" t="s">
        <v>65</v>
      </c>
      <c r="L6242">
        <v>3600035186</v>
      </c>
    </row>
    <row r="6243" spans="3:12">
      <c r="C6243">
        <v>2100300025</v>
      </c>
      <c r="D6243">
        <v>6426000</v>
      </c>
      <c r="E6243" t="s">
        <v>188</v>
      </c>
      <c r="F6243">
        <v>5103010199</v>
      </c>
      <c r="G6243" s="13">
        <v>9630</v>
      </c>
      <c r="I6243" t="s">
        <v>189</v>
      </c>
      <c r="J6243" t="s">
        <v>557</v>
      </c>
      <c r="K6243" t="s">
        <v>152</v>
      </c>
      <c r="L6243">
        <v>3600035186</v>
      </c>
    </row>
    <row r="6244" spans="3:12">
      <c r="C6244">
        <v>2100300025</v>
      </c>
      <c r="D6244">
        <v>6426000</v>
      </c>
      <c r="E6244" t="s">
        <v>188</v>
      </c>
      <c r="F6244">
        <v>5102010199</v>
      </c>
      <c r="G6244">
        <v>525</v>
      </c>
      <c r="I6244" t="s">
        <v>189</v>
      </c>
      <c r="J6244" t="s">
        <v>986</v>
      </c>
      <c r="K6244" t="s">
        <v>151</v>
      </c>
      <c r="L6244">
        <v>3600042025</v>
      </c>
    </row>
    <row r="6245" spans="3:12">
      <c r="C6245">
        <v>2100300025</v>
      </c>
      <c r="D6245">
        <v>6426000</v>
      </c>
      <c r="E6245" t="s">
        <v>188</v>
      </c>
      <c r="F6245">
        <v>5102010199</v>
      </c>
      <c r="G6245" s="13">
        <v>3900</v>
      </c>
      <c r="I6245" t="s">
        <v>189</v>
      </c>
      <c r="J6245" t="s">
        <v>988</v>
      </c>
      <c r="K6245" t="s">
        <v>151</v>
      </c>
      <c r="L6245">
        <v>3600042535</v>
      </c>
    </row>
    <row r="6246" spans="3:12">
      <c r="C6246">
        <v>2100300025</v>
      </c>
      <c r="D6246">
        <v>6426000</v>
      </c>
      <c r="E6246" t="s">
        <v>188</v>
      </c>
      <c r="F6246">
        <v>5102030199</v>
      </c>
      <c r="G6246" s="13">
        <v>2000</v>
      </c>
      <c r="I6246" t="s">
        <v>189</v>
      </c>
      <c r="J6246" t="s">
        <v>830</v>
      </c>
      <c r="K6246" t="s">
        <v>1047</v>
      </c>
      <c r="L6246">
        <v>3600020032</v>
      </c>
    </row>
    <row r="6247" spans="3:12">
      <c r="C6247">
        <v>2100300025</v>
      </c>
      <c r="D6247">
        <v>6426000</v>
      </c>
      <c r="E6247" t="s">
        <v>188</v>
      </c>
      <c r="F6247">
        <v>5102030199</v>
      </c>
      <c r="G6247" s="13">
        <v>58762</v>
      </c>
      <c r="I6247" t="s">
        <v>189</v>
      </c>
      <c r="J6247" t="s">
        <v>931</v>
      </c>
      <c r="K6247" t="s">
        <v>1047</v>
      </c>
      <c r="L6247">
        <v>3600025629</v>
      </c>
    </row>
    <row r="6248" spans="3:12">
      <c r="C6248">
        <v>2100300025</v>
      </c>
      <c r="D6248">
        <v>6426000</v>
      </c>
      <c r="E6248" t="s">
        <v>188</v>
      </c>
      <c r="F6248">
        <v>5103010102</v>
      </c>
      <c r="G6248" s="13">
        <v>2160</v>
      </c>
      <c r="I6248" t="s">
        <v>189</v>
      </c>
      <c r="J6248" t="s">
        <v>877</v>
      </c>
      <c r="K6248" t="s">
        <v>63</v>
      </c>
      <c r="L6248">
        <v>3600000665</v>
      </c>
    </row>
    <row r="6249" spans="3:12">
      <c r="C6249">
        <v>2100300025</v>
      </c>
      <c r="D6249">
        <v>6426000</v>
      </c>
      <c r="E6249" t="s">
        <v>188</v>
      </c>
      <c r="F6249">
        <v>5103010102</v>
      </c>
      <c r="G6249">
        <v>480</v>
      </c>
      <c r="I6249" t="s">
        <v>189</v>
      </c>
      <c r="J6249" t="s">
        <v>883</v>
      </c>
      <c r="K6249" t="s">
        <v>63</v>
      </c>
      <c r="L6249">
        <v>3600005478</v>
      </c>
    </row>
    <row r="6250" spans="3:12">
      <c r="C6250">
        <v>2100300025</v>
      </c>
      <c r="D6250">
        <v>6426000</v>
      </c>
      <c r="E6250" t="s">
        <v>188</v>
      </c>
      <c r="F6250">
        <v>5103010199</v>
      </c>
      <c r="G6250" s="13">
        <v>8200</v>
      </c>
      <c r="I6250" t="s">
        <v>189</v>
      </c>
      <c r="J6250" t="s">
        <v>883</v>
      </c>
      <c r="K6250" t="s">
        <v>152</v>
      </c>
      <c r="L6250">
        <v>3600005478</v>
      </c>
    </row>
    <row r="6251" spans="3:12">
      <c r="C6251">
        <v>2100300025</v>
      </c>
      <c r="D6251">
        <v>6426000</v>
      </c>
      <c r="E6251" t="s">
        <v>188</v>
      </c>
      <c r="F6251">
        <v>5104010104</v>
      </c>
      <c r="G6251" s="13">
        <v>87686.5</v>
      </c>
      <c r="I6251" t="s">
        <v>189</v>
      </c>
      <c r="J6251" t="s">
        <v>883</v>
      </c>
      <c r="K6251" t="s">
        <v>69</v>
      </c>
      <c r="L6251">
        <v>3600005478</v>
      </c>
    </row>
    <row r="6252" spans="3:12">
      <c r="C6252">
        <v>2100300025</v>
      </c>
      <c r="D6252">
        <v>6426000</v>
      </c>
      <c r="E6252" t="s">
        <v>188</v>
      </c>
      <c r="F6252">
        <v>5103010102</v>
      </c>
      <c r="G6252">
        <v>510</v>
      </c>
      <c r="I6252" t="s">
        <v>189</v>
      </c>
      <c r="J6252" t="s">
        <v>897</v>
      </c>
      <c r="K6252" t="s">
        <v>63</v>
      </c>
      <c r="L6252">
        <v>3600000845</v>
      </c>
    </row>
    <row r="6253" spans="3:12">
      <c r="C6253">
        <v>2100300025</v>
      </c>
      <c r="D6253">
        <v>6426000</v>
      </c>
      <c r="E6253" t="s">
        <v>188</v>
      </c>
      <c r="F6253">
        <v>5103010103</v>
      </c>
      <c r="G6253" s="13">
        <v>1623.96</v>
      </c>
      <c r="I6253" t="s">
        <v>189</v>
      </c>
      <c r="J6253" t="s">
        <v>897</v>
      </c>
      <c r="K6253" t="s">
        <v>65</v>
      </c>
      <c r="L6253">
        <v>3600000845</v>
      </c>
    </row>
    <row r="6254" spans="3:12">
      <c r="C6254">
        <v>2100300025</v>
      </c>
      <c r="D6254">
        <v>6426000</v>
      </c>
      <c r="E6254" t="s">
        <v>188</v>
      </c>
      <c r="F6254">
        <v>5103010199</v>
      </c>
      <c r="G6254" s="13">
        <v>4728</v>
      </c>
      <c r="I6254" t="s">
        <v>189</v>
      </c>
      <c r="J6254" t="s">
        <v>897</v>
      </c>
      <c r="K6254" t="s">
        <v>152</v>
      </c>
      <c r="L6254">
        <v>3600000845</v>
      </c>
    </row>
    <row r="6255" spans="3:12">
      <c r="C6255">
        <v>2100300025</v>
      </c>
      <c r="D6255">
        <v>6426000</v>
      </c>
      <c r="E6255" t="s">
        <v>188</v>
      </c>
      <c r="F6255">
        <v>5103010102</v>
      </c>
      <c r="G6255">
        <v>240</v>
      </c>
      <c r="I6255" t="s">
        <v>189</v>
      </c>
      <c r="J6255" t="s">
        <v>901</v>
      </c>
      <c r="K6255" t="s">
        <v>63</v>
      </c>
      <c r="L6255">
        <v>3600010855</v>
      </c>
    </row>
    <row r="6256" spans="3:12">
      <c r="C6256">
        <v>2100300025</v>
      </c>
      <c r="D6256">
        <v>6426000</v>
      </c>
      <c r="E6256" t="s">
        <v>188</v>
      </c>
      <c r="F6256">
        <v>5103010199</v>
      </c>
      <c r="G6256" s="13">
        <v>6473</v>
      </c>
      <c r="I6256" t="s">
        <v>189</v>
      </c>
      <c r="J6256" t="s">
        <v>901</v>
      </c>
      <c r="K6256" t="s">
        <v>152</v>
      </c>
      <c r="L6256">
        <v>3600010855</v>
      </c>
    </row>
    <row r="6257" spans="3:12">
      <c r="C6257">
        <v>2100300025</v>
      </c>
      <c r="D6257">
        <v>6426000</v>
      </c>
      <c r="E6257" t="s">
        <v>188</v>
      </c>
      <c r="F6257">
        <v>5103010102</v>
      </c>
      <c r="G6257">
        <v>480</v>
      </c>
      <c r="I6257" t="s">
        <v>189</v>
      </c>
      <c r="J6257" t="s">
        <v>915</v>
      </c>
      <c r="K6257" t="s">
        <v>63</v>
      </c>
      <c r="L6257">
        <v>3600018290</v>
      </c>
    </row>
    <row r="6258" spans="3:12">
      <c r="C6258">
        <v>2100300025</v>
      </c>
      <c r="D6258">
        <v>6426000</v>
      </c>
      <c r="E6258" t="s">
        <v>188</v>
      </c>
      <c r="F6258">
        <v>5103010199</v>
      </c>
      <c r="G6258" s="13">
        <v>3944</v>
      </c>
      <c r="I6258" t="s">
        <v>189</v>
      </c>
      <c r="J6258" t="s">
        <v>915</v>
      </c>
      <c r="K6258" t="s">
        <v>152</v>
      </c>
      <c r="L6258">
        <v>3600018290</v>
      </c>
    </row>
    <row r="6259" spans="3:12">
      <c r="C6259">
        <v>2100300025</v>
      </c>
      <c r="D6259">
        <v>6426000</v>
      </c>
      <c r="E6259" t="s">
        <v>188</v>
      </c>
      <c r="F6259">
        <v>5103010102</v>
      </c>
      <c r="G6259" s="13">
        <v>1060</v>
      </c>
      <c r="I6259" t="s">
        <v>189</v>
      </c>
      <c r="J6259" t="s">
        <v>918</v>
      </c>
      <c r="K6259" t="s">
        <v>63</v>
      </c>
      <c r="L6259">
        <v>3600019917</v>
      </c>
    </row>
    <row r="6260" spans="3:12">
      <c r="C6260">
        <v>2100300025</v>
      </c>
      <c r="D6260">
        <v>6426000</v>
      </c>
      <c r="E6260" t="s">
        <v>188</v>
      </c>
      <c r="F6260">
        <v>5103010102</v>
      </c>
      <c r="G6260">
        <v>180</v>
      </c>
      <c r="I6260" t="s">
        <v>189</v>
      </c>
      <c r="J6260" t="s">
        <v>825</v>
      </c>
      <c r="K6260" t="s">
        <v>63</v>
      </c>
      <c r="L6260">
        <v>3600001033</v>
      </c>
    </row>
    <row r="6261" spans="3:12">
      <c r="C6261">
        <v>2100300025</v>
      </c>
      <c r="D6261">
        <v>6426000</v>
      </c>
      <c r="E6261" t="s">
        <v>188</v>
      </c>
      <c r="F6261">
        <v>5103010199</v>
      </c>
      <c r="G6261" s="13">
        <v>5550</v>
      </c>
      <c r="I6261" t="s">
        <v>189</v>
      </c>
      <c r="J6261" t="s">
        <v>825</v>
      </c>
      <c r="K6261" t="s">
        <v>152</v>
      </c>
      <c r="L6261">
        <v>3600001033</v>
      </c>
    </row>
    <row r="6262" spans="3:12">
      <c r="C6262">
        <v>2100300025</v>
      </c>
      <c r="D6262">
        <v>6426000</v>
      </c>
      <c r="E6262" t="s">
        <v>188</v>
      </c>
      <c r="F6262">
        <v>5103010102</v>
      </c>
      <c r="G6262">
        <v>240</v>
      </c>
      <c r="I6262" t="s">
        <v>189</v>
      </c>
      <c r="J6262" t="s">
        <v>929</v>
      </c>
      <c r="K6262" t="s">
        <v>63</v>
      </c>
      <c r="L6262">
        <v>3600021926</v>
      </c>
    </row>
    <row r="6263" spans="3:12">
      <c r="C6263">
        <v>2100300025</v>
      </c>
      <c r="D6263">
        <v>6426000</v>
      </c>
      <c r="E6263" t="s">
        <v>188</v>
      </c>
      <c r="F6263">
        <v>5103010199</v>
      </c>
      <c r="G6263" s="13">
        <v>5980</v>
      </c>
      <c r="I6263" t="s">
        <v>189</v>
      </c>
      <c r="J6263" t="s">
        <v>929</v>
      </c>
      <c r="K6263" t="s">
        <v>152</v>
      </c>
      <c r="L6263">
        <v>3600021926</v>
      </c>
    </row>
    <row r="6264" spans="3:12">
      <c r="C6264">
        <v>2100300025</v>
      </c>
      <c r="D6264">
        <v>6426000</v>
      </c>
      <c r="E6264" t="s">
        <v>188</v>
      </c>
      <c r="F6264">
        <v>5103010102</v>
      </c>
      <c r="G6264" s="13">
        <v>3840</v>
      </c>
      <c r="I6264" t="s">
        <v>189</v>
      </c>
      <c r="J6264" t="s">
        <v>965</v>
      </c>
      <c r="K6264" t="s">
        <v>63</v>
      </c>
      <c r="L6264">
        <v>3600033807</v>
      </c>
    </row>
    <row r="6265" spans="3:12">
      <c r="C6265">
        <v>2100300025</v>
      </c>
      <c r="D6265">
        <v>6426000</v>
      </c>
      <c r="E6265" t="s">
        <v>188</v>
      </c>
      <c r="F6265">
        <v>5103010103</v>
      </c>
      <c r="G6265" s="13">
        <v>14100</v>
      </c>
      <c r="I6265" t="s">
        <v>189</v>
      </c>
      <c r="J6265" t="s">
        <v>965</v>
      </c>
      <c r="K6265" t="s">
        <v>65</v>
      </c>
      <c r="L6265">
        <v>3600033807</v>
      </c>
    </row>
    <row r="6266" spans="3:12">
      <c r="C6266">
        <v>2100300025</v>
      </c>
      <c r="D6266">
        <v>6426000</v>
      </c>
      <c r="E6266" t="s">
        <v>188</v>
      </c>
      <c r="F6266">
        <v>5103010199</v>
      </c>
      <c r="G6266" s="13">
        <v>2770</v>
      </c>
      <c r="I6266" t="s">
        <v>189</v>
      </c>
      <c r="J6266" t="s">
        <v>965</v>
      </c>
      <c r="K6266" t="s">
        <v>152</v>
      </c>
      <c r="L6266">
        <v>3600033807</v>
      </c>
    </row>
    <row r="6267" spans="3:12">
      <c r="C6267">
        <v>2100300025</v>
      </c>
      <c r="D6267">
        <v>6426000</v>
      </c>
      <c r="E6267" t="s">
        <v>188</v>
      </c>
      <c r="F6267">
        <v>5103010102</v>
      </c>
      <c r="G6267">
        <v>800</v>
      </c>
      <c r="I6267" t="s">
        <v>189</v>
      </c>
      <c r="J6267" t="s">
        <v>966</v>
      </c>
      <c r="K6267" t="s">
        <v>63</v>
      </c>
      <c r="L6267">
        <v>3600031542</v>
      </c>
    </row>
    <row r="6268" spans="3:12">
      <c r="C6268">
        <v>2100300025</v>
      </c>
      <c r="D6268">
        <v>6426000</v>
      </c>
      <c r="E6268" t="s">
        <v>188</v>
      </c>
      <c r="F6268">
        <v>5103010103</v>
      </c>
      <c r="G6268" s="13">
        <v>9594.9</v>
      </c>
      <c r="I6268" t="s">
        <v>189</v>
      </c>
      <c r="J6268" t="s">
        <v>966</v>
      </c>
      <c r="K6268" t="s">
        <v>65</v>
      </c>
      <c r="L6268">
        <v>3600031542</v>
      </c>
    </row>
    <row r="6269" spans="3:12">
      <c r="C6269">
        <v>2100300025</v>
      </c>
      <c r="D6269">
        <v>6426000</v>
      </c>
      <c r="E6269" t="s">
        <v>188</v>
      </c>
      <c r="F6269">
        <v>5103010199</v>
      </c>
      <c r="G6269" s="13">
        <v>2642</v>
      </c>
      <c r="I6269" t="s">
        <v>189</v>
      </c>
      <c r="J6269" t="s">
        <v>966</v>
      </c>
      <c r="K6269" t="s">
        <v>152</v>
      </c>
      <c r="L6269">
        <v>3600031542</v>
      </c>
    </row>
    <row r="6270" spans="3:12">
      <c r="C6270">
        <v>2100300025</v>
      </c>
      <c r="D6270">
        <v>6426000</v>
      </c>
      <c r="E6270" t="s">
        <v>188</v>
      </c>
      <c r="F6270">
        <v>5103010102</v>
      </c>
      <c r="G6270" s="13">
        <v>2640</v>
      </c>
      <c r="I6270" t="s">
        <v>189</v>
      </c>
      <c r="J6270" t="s">
        <v>973</v>
      </c>
      <c r="K6270" t="s">
        <v>63</v>
      </c>
      <c r="L6270">
        <v>3600037406</v>
      </c>
    </row>
    <row r="6271" spans="3:12">
      <c r="C6271">
        <v>2100300025</v>
      </c>
      <c r="D6271">
        <v>6426000</v>
      </c>
      <c r="E6271" t="s">
        <v>188</v>
      </c>
      <c r="F6271">
        <v>5103010103</v>
      </c>
      <c r="G6271" s="13">
        <v>7200</v>
      </c>
      <c r="I6271" t="s">
        <v>189</v>
      </c>
      <c r="J6271" t="s">
        <v>973</v>
      </c>
      <c r="K6271" t="s">
        <v>65</v>
      </c>
      <c r="L6271">
        <v>3600037406</v>
      </c>
    </row>
    <row r="6272" spans="3:12">
      <c r="C6272">
        <v>2100300025</v>
      </c>
      <c r="D6272">
        <v>6426000</v>
      </c>
      <c r="E6272" t="s">
        <v>188</v>
      </c>
      <c r="F6272">
        <v>5103010199</v>
      </c>
      <c r="G6272" s="13">
        <v>3230</v>
      </c>
      <c r="I6272" t="s">
        <v>189</v>
      </c>
      <c r="J6272" t="s">
        <v>973</v>
      </c>
      <c r="K6272" t="s">
        <v>152</v>
      </c>
      <c r="L6272">
        <v>3600037406</v>
      </c>
    </row>
    <row r="6273" spans="3:12">
      <c r="C6273">
        <v>2100300025</v>
      </c>
      <c r="D6273">
        <v>6426000</v>
      </c>
      <c r="E6273" t="s">
        <v>188</v>
      </c>
      <c r="F6273">
        <v>5103010102</v>
      </c>
      <c r="G6273">
        <v>120</v>
      </c>
      <c r="I6273" t="s">
        <v>189</v>
      </c>
      <c r="J6273" t="s">
        <v>981</v>
      </c>
      <c r="K6273" t="s">
        <v>63</v>
      </c>
      <c r="L6273">
        <v>3600037875</v>
      </c>
    </row>
    <row r="6274" spans="3:12">
      <c r="C6274">
        <v>2100300025</v>
      </c>
      <c r="D6274">
        <v>6426000</v>
      </c>
      <c r="E6274" t="s">
        <v>188</v>
      </c>
      <c r="F6274">
        <v>5103010199</v>
      </c>
      <c r="G6274" s="13">
        <v>1000</v>
      </c>
      <c r="I6274" t="s">
        <v>189</v>
      </c>
      <c r="J6274" t="s">
        <v>981</v>
      </c>
      <c r="K6274" t="s">
        <v>152</v>
      </c>
      <c r="L6274">
        <v>3600037875</v>
      </c>
    </row>
    <row r="6275" spans="3:12">
      <c r="C6275">
        <v>2100300025</v>
      </c>
      <c r="D6275">
        <v>6426000</v>
      </c>
      <c r="E6275" t="s">
        <v>188</v>
      </c>
      <c r="F6275">
        <v>5103010102</v>
      </c>
      <c r="G6275">
        <v>180</v>
      </c>
      <c r="I6275" t="s">
        <v>189</v>
      </c>
      <c r="J6275" t="s">
        <v>591</v>
      </c>
      <c r="K6275" t="s">
        <v>63</v>
      </c>
      <c r="L6275">
        <v>3600042556</v>
      </c>
    </row>
    <row r="6276" spans="3:12">
      <c r="C6276">
        <v>2100300025</v>
      </c>
      <c r="D6276">
        <v>6426000</v>
      </c>
      <c r="E6276" t="s">
        <v>188</v>
      </c>
      <c r="F6276">
        <v>5103010103</v>
      </c>
      <c r="G6276" s="13">
        <v>1450</v>
      </c>
      <c r="I6276" t="s">
        <v>189</v>
      </c>
      <c r="J6276" t="s">
        <v>591</v>
      </c>
      <c r="K6276" t="s">
        <v>65</v>
      </c>
      <c r="L6276">
        <v>3600042556</v>
      </c>
    </row>
    <row r="6277" spans="3:12">
      <c r="C6277">
        <v>2100300025</v>
      </c>
      <c r="D6277">
        <v>6426000</v>
      </c>
      <c r="E6277" t="s">
        <v>188</v>
      </c>
      <c r="F6277">
        <v>5103010199</v>
      </c>
      <c r="G6277" s="13">
        <v>1000</v>
      </c>
      <c r="I6277" t="s">
        <v>189</v>
      </c>
      <c r="J6277" t="s">
        <v>591</v>
      </c>
      <c r="K6277" t="s">
        <v>152</v>
      </c>
      <c r="L6277">
        <v>3600042556</v>
      </c>
    </row>
    <row r="6278" spans="3:12">
      <c r="C6278">
        <v>2100300025</v>
      </c>
      <c r="D6278">
        <v>6426000</v>
      </c>
      <c r="E6278" t="s">
        <v>188</v>
      </c>
      <c r="F6278">
        <v>5103010102</v>
      </c>
      <c r="G6278" s="13">
        <v>1600</v>
      </c>
      <c r="I6278" t="s">
        <v>189</v>
      </c>
      <c r="J6278" t="s">
        <v>866</v>
      </c>
      <c r="K6278" t="s">
        <v>63</v>
      </c>
      <c r="L6278">
        <v>3600020790</v>
      </c>
    </row>
    <row r="6279" spans="3:12">
      <c r="C6279">
        <v>2100300025</v>
      </c>
      <c r="D6279">
        <v>6426000</v>
      </c>
      <c r="E6279" t="s">
        <v>188</v>
      </c>
      <c r="F6279">
        <v>5103010103</v>
      </c>
      <c r="G6279" s="13">
        <v>8650</v>
      </c>
      <c r="I6279" t="s">
        <v>189</v>
      </c>
      <c r="J6279" t="s">
        <v>866</v>
      </c>
      <c r="K6279" t="s">
        <v>65</v>
      </c>
      <c r="L6279">
        <v>3600020790</v>
      </c>
    </row>
    <row r="6280" spans="3:12">
      <c r="C6280">
        <v>2100300025</v>
      </c>
      <c r="D6280">
        <v>6426000</v>
      </c>
      <c r="E6280" t="s">
        <v>188</v>
      </c>
      <c r="F6280">
        <v>5103010199</v>
      </c>
      <c r="G6280" s="13">
        <v>2265</v>
      </c>
      <c r="I6280" t="s">
        <v>189</v>
      </c>
      <c r="J6280" t="s">
        <v>848</v>
      </c>
      <c r="K6280" t="s">
        <v>152</v>
      </c>
      <c r="L6280">
        <v>3600031630</v>
      </c>
    </row>
    <row r="6281" spans="3:12">
      <c r="C6281">
        <v>2100300025</v>
      </c>
      <c r="D6281">
        <v>6426000</v>
      </c>
      <c r="E6281" t="s">
        <v>188</v>
      </c>
      <c r="F6281">
        <v>5104010104</v>
      </c>
      <c r="G6281" s="13">
        <v>93250.5</v>
      </c>
      <c r="I6281" t="s">
        <v>189</v>
      </c>
      <c r="J6281" t="s">
        <v>882</v>
      </c>
      <c r="K6281" t="s">
        <v>69</v>
      </c>
      <c r="L6281">
        <v>3600004606</v>
      </c>
    </row>
    <row r="6282" spans="3:12">
      <c r="C6282">
        <v>2100300025</v>
      </c>
      <c r="D6282">
        <v>6426000</v>
      </c>
      <c r="E6282" t="s">
        <v>188</v>
      </c>
      <c r="F6282">
        <v>5104010104</v>
      </c>
      <c r="G6282" s="13">
        <v>37075.5</v>
      </c>
      <c r="I6282" t="s">
        <v>189</v>
      </c>
      <c r="J6282" t="s">
        <v>906</v>
      </c>
      <c r="K6282" t="s">
        <v>69</v>
      </c>
      <c r="L6282">
        <v>3600014130</v>
      </c>
    </row>
    <row r="6283" spans="3:12">
      <c r="C6283">
        <v>2100300025</v>
      </c>
      <c r="D6283">
        <v>6426000</v>
      </c>
      <c r="E6283" t="s">
        <v>188</v>
      </c>
      <c r="F6283">
        <v>5104010104</v>
      </c>
      <c r="G6283" s="13">
        <v>34593.5</v>
      </c>
      <c r="I6283" t="s">
        <v>189</v>
      </c>
      <c r="J6283" t="s">
        <v>914</v>
      </c>
      <c r="K6283" t="s">
        <v>69</v>
      </c>
      <c r="L6283">
        <v>3600017100</v>
      </c>
    </row>
    <row r="6284" spans="3:12">
      <c r="C6284">
        <v>2100300025</v>
      </c>
      <c r="D6284">
        <v>6426000</v>
      </c>
      <c r="E6284" t="s">
        <v>188</v>
      </c>
      <c r="F6284">
        <v>5104010104</v>
      </c>
      <c r="G6284" s="13">
        <v>84958</v>
      </c>
      <c r="I6284" t="s">
        <v>189</v>
      </c>
      <c r="J6284" t="s">
        <v>916</v>
      </c>
      <c r="K6284" t="s">
        <v>69</v>
      </c>
      <c r="L6284">
        <v>3600017400</v>
      </c>
    </row>
    <row r="6285" spans="3:12">
      <c r="C6285">
        <v>2100300025</v>
      </c>
      <c r="D6285">
        <v>6426000</v>
      </c>
      <c r="E6285" t="s">
        <v>188</v>
      </c>
      <c r="F6285">
        <v>5104010104</v>
      </c>
      <c r="G6285" s="13">
        <v>13880</v>
      </c>
      <c r="I6285" t="s">
        <v>189</v>
      </c>
      <c r="J6285" t="s">
        <v>825</v>
      </c>
      <c r="K6285" t="s">
        <v>69</v>
      </c>
      <c r="L6285">
        <v>3600019601</v>
      </c>
    </row>
    <row r="6286" spans="3:12">
      <c r="C6286">
        <v>2100300025</v>
      </c>
      <c r="D6286">
        <v>6426000</v>
      </c>
      <c r="E6286" t="s">
        <v>188</v>
      </c>
      <c r="F6286">
        <v>5104010104</v>
      </c>
      <c r="G6286" s="13">
        <v>80193</v>
      </c>
      <c r="I6286" t="s">
        <v>189</v>
      </c>
      <c r="J6286" t="s">
        <v>799</v>
      </c>
      <c r="K6286" t="s">
        <v>69</v>
      </c>
      <c r="L6286">
        <v>3600016871</v>
      </c>
    </row>
    <row r="6287" spans="3:12">
      <c r="C6287">
        <v>2100300025</v>
      </c>
      <c r="D6287">
        <v>6426000</v>
      </c>
      <c r="E6287" t="s">
        <v>188</v>
      </c>
      <c r="F6287">
        <v>5104010104</v>
      </c>
      <c r="G6287" s="13">
        <v>5600</v>
      </c>
      <c r="I6287" t="s">
        <v>189</v>
      </c>
      <c r="J6287" t="s">
        <v>924</v>
      </c>
      <c r="K6287" t="s">
        <v>69</v>
      </c>
      <c r="L6287">
        <v>3600021946</v>
      </c>
    </row>
    <row r="6288" spans="3:12">
      <c r="C6288">
        <v>2100300025</v>
      </c>
      <c r="D6288">
        <v>6426000</v>
      </c>
      <c r="E6288" t="s">
        <v>188</v>
      </c>
      <c r="F6288">
        <v>5104010104</v>
      </c>
      <c r="G6288" s="13">
        <v>37664</v>
      </c>
      <c r="I6288" t="s">
        <v>189</v>
      </c>
      <c r="J6288" t="s">
        <v>830</v>
      </c>
      <c r="K6288" t="s">
        <v>69</v>
      </c>
      <c r="L6288">
        <v>3600019043</v>
      </c>
    </row>
    <row r="6289" spans="3:12">
      <c r="C6289">
        <v>2100300025</v>
      </c>
      <c r="D6289">
        <v>6426000</v>
      </c>
      <c r="E6289" t="s">
        <v>188</v>
      </c>
      <c r="F6289">
        <v>5104010104</v>
      </c>
      <c r="G6289" s="13">
        <v>113206</v>
      </c>
      <c r="I6289" t="s">
        <v>189</v>
      </c>
      <c r="J6289" t="s">
        <v>801</v>
      </c>
      <c r="K6289" t="s">
        <v>69</v>
      </c>
      <c r="L6289">
        <v>3600020645</v>
      </c>
    </row>
    <row r="6290" spans="3:12">
      <c r="C6290">
        <v>2100300025</v>
      </c>
      <c r="D6290">
        <v>6426000</v>
      </c>
      <c r="E6290" t="s">
        <v>188</v>
      </c>
      <c r="F6290">
        <v>5104010104</v>
      </c>
      <c r="G6290" s="13">
        <v>34874.959999999999</v>
      </c>
      <c r="I6290" t="s">
        <v>189</v>
      </c>
      <c r="J6290" t="s">
        <v>564</v>
      </c>
      <c r="K6290" t="s">
        <v>69</v>
      </c>
      <c r="L6290">
        <v>3600019866</v>
      </c>
    </row>
    <row r="6291" spans="3:12">
      <c r="C6291">
        <v>2100300025</v>
      </c>
      <c r="D6291">
        <v>6426000</v>
      </c>
      <c r="E6291" t="s">
        <v>188</v>
      </c>
      <c r="F6291">
        <v>5104010104</v>
      </c>
      <c r="G6291" s="13">
        <v>98868</v>
      </c>
      <c r="I6291" t="s">
        <v>189</v>
      </c>
      <c r="J6291" t="s">
        <v>932</v>
      </c>
      <c r="K6291" t="s">
        <v>69</v>
      </c>
      <c r="L6291">
        <v>3600021985</v>
      </c>
    </row>
    <row r="6292" spans="3:12">
      <c r="C6292">
        <v>2100300025</v>
      </c>
      <c r="D6292">
        <v>6426000</v>
      </c>
      <c r="E6292" t="s">
        <v>188</v>
      </c>
      <c r="F6292">
        <v>5104010104</v>
      </c>
      <c r="G6292" s="13">
        <v>88582.5</v>
      </c>
      <c r="I6292" t="s">
        <v>189</v>
      </c>
      <c r="J6292" t="s">
        <v>837</v>
      </c>
      <c r="K6292" t="s">
        <v>69</v>
      </c>
      <c r="L6292">
        <v>3600020540</v>
      </c>
    </row>
    <row r="6293" spans="3:12">
      <c r="C6293">
        <v>2100300025</v>
      </c>
      <c r="D6293">
        <v>6426000</v>
      </c>
      <c r="E6293" t="s">
        <v>188</v>
      </c>
      <c r="F6293">
        <v>5104010104</v>
      </c>
      <c r="G6293" s="13">
        <v>104432</v>
      </c>
      <c r="I6293" t="s">
        <v>189</v>
      </c>
      <c r="J6293" t="s">
        <v>936</v>
      </c>
      <c r="K6293" t="s">
        <v>69</v>
      </c>
      <c r="L6293">
        <v>3600025904</v>
      </c>
    </row>
    <row r="6294" spans="3:12">
      <c r="C6294">
        <v>2100300025</v>
      </c>
      <c r="D6294">
        <v>6426000</v>
      </c>
      <c r="E6294" t="s">
        <v>188</v>
      </c>
      <c r="F6294">
        <v>5104010104</v>
      </c>
      <c r="G6294" s="13">
        <v>44298</v>
      </c>
      <c r="I6294" t="s">
        <v>189</v>
      </c>
      <c r="J6294" t="s">
        <v>941</v>
      </c>
      <c r="K6294" t="s">
        <v>69</v>
      </c>
      <c r="L6294">
        <v>3600024267</v>
      </c>
    </row>
    <row r="6295" spans="3:12">
      <c r="C6295">
        <v>2100300025</v>
      </c>
      <c r="D6295">
        <v>6426000</v>
      </c>
      <c r="E6295" t="s">
        <v>188</v>
      </c>
      <c r="F6295">
        <v>5104010104</v>
      </c>
      <c r="G6295" s="13">
        <v>52349.5</v>
      </c>
      <c r="I6295" t="s">
        <v>189</v>
      </c>
      <c r="J6295" t="s">
        <v>942</v>
      </c>
      <c r="K6295" t="s">
        <v>69</v>
      </c>
      <c r="L6295">
        <v>3600026688</v>
      </c>
    </row>
    <row r="6296" spans="3:12">
      <c r="C6296">
        <v>2100300025</v>
      </c>
      <c r="D6296">
        <v>6426000</v>
      </c>
      <c r="E6296" t="s">
        <v>188</v>
      </c>
      <c r="F6296">
        <v>5104010104</v>
      </c>
      <c r="G6296" s="13">
        <v>33972.5</v>
      </c>
      <c r="I6296" t="s">
        <v>189</v>
      </c>
      <c r="J6296" t="s">
        <v>844</v>
      </c>
      <c r="K6296" t="s">
        <v>69</v>
      </c>
      <c r="L6296">
        <v>3600028062</v>
      </c>
    </row>
    <row r="6297" spans="3:12">
      <c r="C6297">
        <v>2100300025</v>
      </c>
      <c r="D6297">
        <v>6426000</v>
      </c>
      <c r="E6297" t="s">
        <v>188</v>
      </c>
      <c r="F6297">
        <v>5103010199</v>
      </c>
      <c r="G6297" s="13">
        <v>1000</v>
      </c>
      <c r="I6297" t="s">
        <v>189</v>
      </c>
      <c r="J6297" t="s">
        <v>961</v>
      </c>
      <c r="K6297" t="s">
        <v>152</v>
      </c>
      <c r="L6297">
        <v>3600031531</v>
      </c>
    </row>
    <row r="6298" spans="3:12">
      <c r="C6298">
        <v>2100300025</v>
      </c>
      <c r="D6298">
        <v>6426000</v>
      </c>
      <c r="E6298" t="s">
        <v>188</v>
      </c>
      <c r="F6298">
        <v>5103010199</v>
      </c>
      <c r="G6298" s="13">
        <v>1000</v>
      </c>
      <c r="I6298" t="s">
        <v>189</v>
      </c>
      <c r="J6298" t="s">
        <v>855</v>
      </c>
      <c r="K6298" t="s">
        <v>152</v>
      </c>
      <c r="L6298">
        <v>3600032151</v>
      </c>
    </row>
    <row r="6299" spans="3:12">
      <c r="C6299">
        <v>2100300025</v>
      </c>
      <c r="D6299">
        <v>6426000</v>
      </c>
      <c r="E6299" t="s">
        <v>188</v>
      </c>
      <c r="F6299">
        <v>5103010199</v>
      </c>
      <c r="G6299" s="13">
        <v>1000</v>
      </c>
      <c r="I6299" t="s">
        <v>189</v>
      </c>
      <c r="J6299" t="s">
        <v>868</v>
      </c>
      <c r="K6299" t="s">
        <v>152</v>
      </c>
      <c r="L6299">
        <v>3600037820</v>
      </c>
    </row>
    <row r="6300" spans="3:12">
      <c r="C6300">
        <v>2100300025</v>
      </c>
      <c r="D6300">
        <v>6426000</v>
      </c>
      <c r="E6300" t="s">
        <v>188</v>
      </c>
      <c r="F6300">
        <v>5103010199</v>
      </c>
      <c r="G6300" s="13">
        <v>1000</v>
      </c>
      <c r="I6300" t="s">
        <v>189</v>
      </c>
      <c r="J6300" t="s">
        <v>980</v>
      </c>
      <c r="K6300" t="s">
        <v>152</v>
      </c>
      <c r="L6300">
        <v>3600040959</v>
      </c>
    </row>
    <row r="6301" spans="3:12">
      <c r="C6301">
        <v>2100300025</v>
      </c>
      <c r="D6301">
        <v>6426000</v>
      </c>
      <c r="E6301" t="s">
        <v>188</v>
      </c>
      <c r="F6301">
        <v>5104010104</v>
      </c>
      <c r="G6301" s="13">
        <v>17865</v>
      </c>
      <c r="I6301" t="s">
        <v>189</v>
      </c>
      <c r="J6301" t="s">
        <v>878</v>
      </c>
      <c r="K6301" t="s">
        <v>69</v>
      </c>
      <c r="L6301">
        <v>3600002084</v>
      </c>
    </row>
    <row r="6302" spans="3:12">
      <c r="C6302">
        <v>2100300025</v>
      </c>
      <c r="D6302">
        <v>6426000</v>
      </c>
      <c r="E6302" t="s">
        <v>188</v>
      </c>
      <c r="F6302">
        <v>5104010104</v>
      </c>
      <c r="G6302" s="13">
        <v>32581.5</v>
      </c>
      <c r="I6302" t="s">
        <v>189</v>
      </c>
      <c r="J6302" t="s">
        <v>875</v>
      </c>
      <c r="K6302" t="s">
        <v>69</v>
      </c>
      <c r="L6302">
        <v>3600000421</v>
      </c>
    </row>
    <row r="6303" spans="3:12">
      <c r="C6303">
        <v>2100300025</v>
      </c>
      <c r="D6303">
        <v>6426000</v>
      </c>
      <c r="E6303" t="s">
        <v>188</v>
      </c>
      <c r="F6303">
        <v>5104010104</v>
      </c>
      <c r="G6303" s="13">
        <v>26910.5</v>
      </c>
      <c r="I6303" t="s">
        <v>189</v>
      </c>
      <c r="J6303" t="s">
        <v>871</v>
      </c>
      <c r="K6303" t="s">
        <v>69</v>
      </c>
      <c r="L6303">
        <v>3600013182</v>
      </c>
    </row>
    <row r="6304" spans="3:12">
      <c r="C6304">
        <v>2100300025</v>
      </c>
      <c r="D6304">
        <v>6426000</v>
      </c>
      <c r="E6304" t="s">
        <v>188</v>
      </c>
      <c r="F6304">
        <v>5104010104</v>
      </c>
      <c r="G6304" s="13">
        <v>102506</v>
      </c>
      <c r="I6304" t="s">
        <v>189</v>
      </c>
      <c r="J6304" t="s">
        <v>898</v>
      </c>
      <c r="K6304" t="s">
        <v>69</v>
      </c>
      <c r="L6304">
        <v>3600013218</v>
      </c>
    </row>
    <row r="6305" spans="3:12">
      <c r="C6305">
        <v>2100300025</v>
      </c>
      <c r="D6305">
        <v>6426000</v>
      </c>
      <c r="E6305" t="s">
        <v>188</v>
      </c>
      <c r="F6305">
        <v>5104010104</v>
      </c>
      <c r="G6305" s="13">
        <v>49808.5</v>
      </c>
      <c r="I6305" t="s">
        <v>189</v>
      </c>
      <c r="J6305" t="s">
        <v>925</v>
      </c>
      <c r="K6305" t="s">
        <v>69</v>
      </c>
      <c r="L6305">
        <v>3600021140</v>
      </c>
    </row>
    <row r="6306" spans="3:12">
      <c r="C6306">
        <v>2100300025</v>
      </c>
      <c r="D6306">
        <v>6426000</v>
      </c>
      <c r="E6306" t="s">
        <v>188</v>
      </c>
      <c r="F6306">
        <v>5104010104</v>
      </c>
      <c r="G6306" s="13">
        <v>53874.5</v>
      </c>
      <c r="I6306" t="s">
        <v>189</v>
      </c>
      <c r="J6306" t="s">
        <v>929</v>
      </c>
      <c r="K6306" t="s">
        <v>69</v>
      </c>
      <c r="L6306">
        <v>3600021867</v>
      </c>
    </row>
    <row r="6307" spans="3:12">
      <c r="C6307">
        <v>2100300025</v>
      </c>
      <c r="D6307">
        <v>6426000</v>
      </c>
      <c r="E6307" t="s">
        <v>188</v>
      </c>
      <c r="F6307">
        <v>5104010104</v>
      </c>
      <c r="G6307" s="13">
        <v>1920</v>
      </c>
      <c r="I6307" t="s">
        <v>189</v>
      </c>
      <c r="J6307" t="s">
        <v>944</v>
      </c>
      <c r="K6307" t="s">
        <v>69</v>
      </c>
      <c r="L6307">
        <v>3600028560</v>
      </c>
    </row>
    <row r="6308" spans="3:12">
      <c r="C6308">
        <v>2100300025</v>
      </c>
      <c r="D6308">
        <v>6426000</v>
      </c>
      <c r="E6308" t="s">
        <v>188</v>
      </c>
      <c r="F6308">
        <v>5104010104</v>
      </c>
      <c r="G6308" s="13">
        <v>1500</v>
      </c>
      <c r="I6308" t="s">
        <v>189</v>
      </c>
      <c r="J6308" t="s">
        <v>942</v>
      </c>
      <c r="K6308" t="s">
        <v>69</v>
      </c>
      <c r="L6308">
        <v>3600027126</v>
      </c>
    </row>
    <row r="6309" spans="3:12">
      <c r="C6309">
        <v>2100300025</v>
      </c>
      <c r="D6309">
        <v>6426000</v>
      </c>
      <c r="E6309" t="s">
        <v>188</v>
      </c>
      <c r="F6309">
        <v>5104010104</v>
      </c>
      <c r="G6309" s="13">
        <v>140009.5</v>
      </c>
      <c r="I6309" t="s">
        <v>189</v>
      </c>
      <c r="J6309" t="s">
        <v>948</v>
      </c>
      <c r="K6309" t="s">
        <v>69</v>
      </c>
      <c r="L6309">
        <v>3600028916</v>
      </c>
    </row>
    <row r="6310" spans="3:12">
      <c r="C6310">
        <v>2100300025</v>
      </c>
      <c r="D6310">
        <v>6426000</v>
      </c>
      <c r="E6310" t="s">
        <v>188</v>
      </c>
      <c r="F6310">
        <v>5104010104</v>
      </c>
      <c r="G6310" s="13">
        <v>4150</v>
      </c>
      <c r="I6310" t="s">
        <v>189</v>
      </c>
      <c r="J6310" t="s">
        <v>970</v>
      </c>
      <c r="K6310" t="s">
        <v>69</v>
      </c>
      <c r="L6310">
        <v>3600032636</v>
      </c>
    </row>
    <row r="6311" spans="3:12">
      <c r="C6311">
        <v>2100300025</v>
      </c>
      <c r="D6311">
        <v>6426000</v>
      </c>
      <c r="E6311" t="s">
        <v>188</v>
      </c>
      <c r="F6311">
        <v>5104010104</v>
      </c>
      <c r="G6311" s="13">
        <v>53339.5</v>
      </c>
      <c r="I6311" t="s">
        <v>189</v>
      </c>
      <c r="J6311" t="s">
        <v>858</v>
      </c>
      <c r="K6311" t="s">
        <v>69</v>
      </c>
      <c r="L6311">
        <v>3600037341</v>
      </c>
    </row>
    <row r="6312" spans="3:12">
      <c r="C6312">
        <v>2100300025</v>
      </c>
      <c r="D6312">
        <v>6426000</v>
      </c>
      <c r="E6312" t="s">
        <v>188</v>
      </c>
      <c r="F6312">
        <v>5104010104</v>
      </c>
      <c r="G6312" s="13">
        <v>199912.5</v>
      </c>
      <c r="I6312" t="s">
        <v>189</v>
      </c>
      <c r="J6312" t="s">
        <v>859</v>
      </c>
      <c r="K6312" t="s">
        <v>69</v>
      </c>
      <c r="L6312">
        <v>3600023967</v>
      </c>
    </row>
    <row r="6313" spans="3:12">
      <c r="C6313">
        <v>2100300025</v>
      </c>
      <c r="D6313">
        <v>6426000</v>
      </c>
      <c r="E6313" t="s">
        <v>188</v>
      </c>
      <c r="F6313">
        <v>5104010104</v>
      </c>
      <c r="G6313" s="13">
        <v>78217</v>
      </c>
      <c r="I6313" t="s">
        <v>189</v>
      </c>
      <c r="J6313" t="s">
        <v>861</v>
      </c>
      <c r="K6313" t="s">
        <v>69</v>
      </c>
      <c r="L6313">
        <v>3600034885</v>
      </c>
    </row>
    <row r="6314" spans="3:12">
      <c r="C6314">
        <v>2100300025</v>
      </c>
      <c r="D6314">
        <v>6426000</v>
      </c>
      <c r="E6314" t="s">
        <v>188</v>
      </c>
      <c r="F6314">
        <v>5104010104</v>
      </c>
      <c r="G6314" s="13">
        <v>55479.5</v>
      </c>
      <c r="I6314" t="s">
        <v>189</v>
      </c>
      <c r="J6314" t="s">
        <v>868</v>
      </c>
      <c r="K6314" t="s">
        <v>69</v>
      </c>
      <c r="L6314">
        <v>3600037820</v>
      </c>
    </row>
    <row r="6315" spans="3:12">
      <c r="C6315">
        <v>2100300025</v>
      </c>
      <c r="D6315">
        <v>6426000</v>
      </c>
      <c r="E6315" t="s">
        <v>188</v>
      </c>
      <c r="F6315">
        <v>5104010104</v>
      </c>
      <c r="G6315" s="13">
        <v>1042</v>
      </c>
      <c r="I6315" t="s">
        <v>189</v>
      </c>
      <c r="J6315" t="s">
        <v>981</v>
      </c>
      <c r="K6315" t="s">
        <v>69</v>
      </c>
      <c r="L6315">
        <v>3600037875</v>
      </c>
    </row>
    <row r="6316" spans="3:12">
      <c r="C6316">
        <v>2100300025</v>
      </c>
      <c r="D6316">
        <v>6426000</v>
      </c>
      <c r="E6316" t="s">
        <v>188</v>
      </c>
      <c r="F6316">
        <v>5104010104</v>
      </c>
      <c r="G6316">
        <v>600</v>
      </c>
      <c r="I6316" t="s">
        <v>189</v>
      </c>
      <c r="J6316" t="s">
        <v>899</v>
      </c>
      <c r="K6316" t="s">
        <v>69</v>
      </c>
      <c r="L6316">
        <v>3600009328</v>
      </c>
    </row>
    <row r="6317" spans="3:12">
      <c r="C6317">
        <v>2100300025</v>
      </c>
      <c r="D6317">
        <v>6426000</v>
      </c>
      <c r="E6317" t="s">
        <v>188</v>
      </c>
      <c r="F6317">
        <v>5104010104</v>
      </c>
      <c r="G6317" s="13">
        <v>15729</v>
      </c>
      <c r="I6317" t="s">
        <v>189</v>
      </c>
      <c r="J6317" t="s">
        <v>903</v>
      </c>
      <c r="K6317" t="s">
        <v>69</v>
      </c>
      <c r="L6317">
        <v>3600014548</v>
      </c>
    </row>
    <row r="6318" spans="3:12">
      <c r="C6318">
        <v>2100300025</v>
      </c>
      <c r="D6318">
        <v>6426000</v>
      </c>
      <c r="E6318" t="s">
        <v>188</v>
      </c>
      <c r="F6318">
        <v>5104010104</v>
      </c>
      <c r="G6318" s="13">
        <v>108230.5</v>
      </c>
      <c r="I6318" t="s">
        <v>189</v>
      </c>
      <c r="J6318" t="s">
        <v>913</v>
      </c>
      <c r="K6318" t="s">
        <v>69</v>
      </c>
      <c r="L6318">
        <v>3600009286</v>
      </c>
    </row>
    <row r="6319" spans="3:12">
      <c r="C6319">
        <v>2100300025</v>
      </c>
      <c r="D6319">
        <v>6426000</v>
      </c>
      <c r="E6319" t="s">
        <v>188</v>
      </c>
      <c r="F6319">
        <v>5104010104</v>
      </c>
      <c r="G6319" s="13">
        <v>4950</v>
      </c>
      <c r="I6319" t="s">
        <v>189</v>
      </c>
      <c r="J6319" t="s">
        <v>828</v>
      </c>
      <c r="K6319" t="s">
        <v>69</v>
      </c>
      <c r="L6319">
        <v>3600017662</v>
      </c>
    </row>
    <row r="6320" spans="3:12">
      <c r="C6320">
        <v>2100300025</v>
      </c>
      <c r="D6320">
        <v>6426000</v>
      </c>
      <c r="E6320" t="s">
        <v>188</v>
      </c>
      <c r="F6320">
        <v>5104010104</v>
      </c>
      <c r="G6320" s="13">
        <v>3927.5</v>
      </c>
      <c r="I6320" t="s">
        <v>189</v>
      </c>
      <c r="J6320" t="s">
        <v>932</v>
      </c>
      <c r="K6320" t="s">
        <v>69</v>
      </c>
      <c r="L6320">
        <v>3600023582</v>
      </c>
    </row>
    <row r="6321" spans="3:12">
      <c r="C6321">
        <v>2100300025</v>
      </c>
      <c r="D6321">
        <v>6426000</v>
      </c>
      <c r="E6321" t="s">
        <v>188</v>
      </c>
      <c r="F6321">
        <v>5104010104</v>
      </c>
      <c r="G6321" s="13">
        <v>7000</v>
      </c>
      <c r="I6321" t="s">
        <v>189</v>
      </c>
      <c r="J6321" t="s">
        <v>935</v>
      </c>
      <c r="K6321" t="s">
        <v>69</v>
      </c>
      <c r="L6321">
        <v>3600026130</v>
      </c>
    </row>
    <row r="6322" spans="3:12">
      <c r="C6322">
        <v>2100300025</v>
      </c>
      <c r="D6322">
        <v>6426000</v>
      </c>
      <c r="E6322" t="s">
        <v>188</v>
      </c>
      <c r="F6322">
        <v>5104010104</v>
      </c>
      <c r="G6322" s="13">
        <v>8437</v>
      </c>
      <c r="I6322" t="s">
        <v>189</v>
      </c>
      <c r="J6322" t="s">
        <v>955</v>
      </c>
      <c r="K6322" t="s">
        <v>69</v>
      </c>
      <c r="L6322">
        <v>3600031361</v>
      </c>
    </row>
    <row r="6323" spans="3:12">
      <c r="C6323">
        <v>2100300025</v>
      </c>
      <c r="D6323">
        <v>6426000</v>
      </c>
      <c r="E6323" t="s">
        <v>188</v>
      </c>
      <c r="F6323">
        <v>5104010104</v>
      </c>
      <c r="G6323" s="13">
        <v>39697</v>
      </c>
      <c r="I6323" t="s">
        <v>189</v>
      </c>
      <c r="J6323" t="s">
        <v>956</v>
      </c>
      <c r="K6323" t="s">
        <v>69</v>
      </c>
      <c r="L6323">
        <v>3600031325</v>
      </c>
    </row>
    <row r="6324" spans="3:12">
      <c r="C6324">
        <v>2100300025</v>
      </c>
      <c r="D6324">
        <v>6426000</v>
      </c>
      <c r="E6324" t="s">
        <v>188</v>
      </c>
      <c r="F6324">
        <v>5104010104</v>
      </c>
      <c r="G6324" s="13">
        <v>29157.5</v>
      </c>
      <c r="I6324" t="s">
        <v>189</v>
      </c>
      <c r="J6324" t="s">
        <v>985</v>
      </c>
      <c r="K6324" t="s">
        <v>69</v>
      </c>
      <c r="L6324">
        <v>3600041033</v>
      </c>
    </row>
    <row r="6325" spans="3:12">
      <c r="C6325">
        <v>2100300025</v>
      </c>
      <c r="D6325">
        <v>6426000</v>
      </c>
      <c r="E6325" t="s">
        <v>188</v>
      </c>
      <c r="F6325">
        <v>5104010104</v>
      </c>
      <c r="G6325" s="13">
        <v>3500</v>
      </c>
      <c r="I6325" t="s">
        <v>189</v>
      </c>
      <c r="J6325" t="s">
        <v>986</v>
      </c>
      <c r="K6325" t="s">
        <v>69</v>
      </c>
      <c r="L6325">
        <v>3600042025</v>
      </c>
    </row>
    <row r="6326" spans="3:12">
      <c r="C6326">
        <v>2100300025</v>
      </c>
      <c r="D6326">
        <v>6426000</v>
      </c>
      <c r="E6326" t="s">
        <v>188</v>
      </c>
      <c r="F6326">
        <v>5104010104</v>
      </c>
      <c r="G6326" s="13">
        <v>6109</v>
      </c>
      <c r="I6326" t="s">
        <v>189</v>
      </c>
      <c r="J6326" t="s">
        <v>940</v>
      </c>
      <c r="K6326" t="s">
        <v>69</v>
      </c>
      <c r="L6326">
        <v>3600027322</v>
      </c>
    </row>
    <row r="6327" spans="3:12">
      <c r="C6327">
        <v>2100300025</v>
      </c>
      <c r="D6327">
        <v>6426000</v>
      </c>
      <c r="E6327" t="s">
        <v>188</v>
      </c>
      <c r="F6327">
        <v>5104010104</v>
      </c>
      <c r="G6327" s="13">
        <v>6000</v>
      </c>
      <c r="I6327" t="s">
        <v>189</v>
      </c>
      <c r="J6327" t="s">
        <v>948</v>
      </c>
      <c r="K6327" t="s">
        <v>69</v>
      </c>
      <c r="L6327">
        <v>3600029019</v>
      </c>
    </row>
    <row r="6328" spans="3:12">
      <c r="C6328">
        <v>2100300025</v>
      </c>
      <c r="D6328">
        <v>6426000</v>
      </c>
      <c r="E6328" t="s">
        <v>188</v>
      </c>
      <c r="F6328">
        <v>5104010104</v>
      </c>
      <c r="G6328" s="13">
        <v>1479</v>
      </c>
      <c r="I6328" t="s">
        <v>189</v>
      </c>
      <c r="J6328" t="s">
        <v>848</v>
      </c>
      <c r="K6328" t="s">
        <v>69</v>
      </c>
      <c r="L6328">
        <v>3600031631</v>
      </c>
    </row>
    <row r="6329" spans="3:12">
      <c r="C6329">
        <v>2100300025</v>
      </c>
      <c r="D6329">
        <v>6426000</v>
      </c>
      <c r="E6329" t="s">
        <v>188</v>
      </c>
      <c r="F6329">
        <v>5104010104</v>
      </c>
      <c r="G6329">
        <v>680</v>
      </c>
      <c r="I6329" t="s">
        <v>189</v>
      </c>
      <c r="J6329" t="s">
        <v>847</v>
      </c>
      <c r="K6329" t="s">
        <v>69</v>
      </c>
      <c r="L6329">
        <v>3600029118</v>
      </c>
    </row>
    <row r="6330" spans="3:12">
      <c r="C6330">
        <v>2100300025</v>
      </c>
      <c r="D6330">
        <v>6426000</v>
      </c>
      <c r="E6330" t="s">
        <v>188</v>
      </c>
      <c r="F6330">
        <v>5104010104</v>
      </c>
      <c r="G6330" s="13">
        <v>93411</v>
      </c>
      <c r="I6330" t="s">
        <v>189</v>
      </c>
      <c r="J6330" t="s">
        <v>955</v>
      </c>
      <c r="K6330" t="s">
        <v>69</v>
      </c>
      <c r="L6330">
        <v>3600031360</v>
      </c>
    </row>
    <row r="6331" spans="3:12">
      <c r="C6331">
        <v>2100300025</v>
      </c>
      <c r="D6331">
        <v>6426000</v>
      </c>
      <c r="E6331" t="s">
        <v>188</v>
      </c>
      <c r="F6331">
        <v>5104010104</v>
      </c>
      <c r="G6331" s="13">
        <v>57138</v>
      </c>
      <c r="I6331" t="s">
        <v>189</v>
      </c>
      <c r="J6331" t="s">
        <v>559</v>
      </c>
      <c r="K6331" t="s">
        <v>69</v>
      </c>
      <c r="L6331">
        <v>3600030846</v>
      </c>
    </row>
    <row r="6332" spans="3:12">
      <c r="C6332">
        <v>2100300025</v>
      </c>
      <c r="D6332">
        <v>6426000</v>
      </c>
      <c r="E6332" t="s">
        <v>188</v>
      </c>
      <c r="F6332">
        <v>5104010104</v>
      </c>
      <c r="G6332" s="13">
        <v>68373</v>
      </c>
      <c r="I6332" t="s">
        <v>189</v>
      </c>
      <c r="J6332" t="s">
        <v>959</v>
      </c>
      <c r="K6332" t="s">
        <v>69</v>
      </c>
      <c r="L6332">
        <v>3600031961</v>
      </c>
    </row>
    <row r="6333" spans="3:12">
      <c r="C6333">
        <v>2100300025</v>
      </c>
      <c r="D6333">
        <v>6426000</v>
      </c>
      <c r="E6333" t="s">
        <v>188</v>
      </c>
      <c r="F6333">
        <v>5104010104</v>
      </c>
      <c r="G6333" s="13">
        <v>2677</v>
      </c>
      <c r="I6333" t="s">
        <v>189</v>
      </c>
      <c r="J6333" t="s">
        <v>963</v>
      </c>
      <c r="K6333" t="s">
        <v>69</v>
      </c>
      <c r="L6333">
        <v>3600032590</v>
      </c>
    </row>
    <row r="6334" spans="3:12">
      <c r="C6334">
        <v>2100300025</v>
      </c>
      <c r="D6334">
        <v>6426000</v>
      </c>
      <c r="E6334" t="s">
        <v>188</v>
      </c>
      <c r="F6334">
        <v>5104010104</v>
      </c>
      <c r="G6334" s="13">
        <v>42211.5</v>
      </c>
      <c r="I6334" t="s">
        <v>189</v>
      </c>
      <c r="J6334" t="s">
        <v>967</v>
      </c>
      <c r="K6334" t="s">
        <v>69</v>
      </c>
      <c r="L6334">
        <v>3600034904</v>
      </c>
    </row>
    <row r="6335" spans="3:12">
      <c r="C6335">
        <v>2100300025</v>
      </c>
      <c r="D6335">
        <v>6426000</v>
      </c>
      <c r="E6335" t="s">
        <v>188</v>
      </c>
      <c r="F6335">
        <v>5104010104</v>
      </c>
      <c r="G6335" s="13">
        <v>7195</v>
      </c>
      <c r="I6335" t="s">
        <v>189</v>
      </c>
      <c r="J6335" t="s">
        <v>979</v>
      </c>
      <c r="K6335" t="s">
        <v>69</v>
      </c>
      <c r="L6335">
        <v>3600038354</v>
      </c>
    </row>
    <row r="6336" spans="3:12">
      <c r="C6336">
        <v>2100300025</v>
      </c>
      <c r="D6336">
        <v>6426000</v>
      </c>
      <c r="E6336" t="s">
        <v>188</v>
      </c>
      <c r="F6336">
        <v>5104010104</v>
      </c>
      <c r="G6336" s="13">
        <v>63932.5</v>
      </c>
      <c r="I6336" t="s">
        <v>189</v>
      </c>
      <c r="J6336" t="s">
        <v>982</v>
      </c>
      <c r="K6336" t="s">
        <v>69</v>
      </c>
      <c r="L6336">
        <v>3600036763</v>
      </c>
    </row>
    <row r="6337" spans="3:12">
      <c r="C6337">
        <v>2100300025</v>
      </c>
      <c r="D6337">
        <v>6426000</v>
      </c>
      <c r="E6337" t="s">
        <v>188</v>
      </c>
      <c r="F6337">
        <v>5104010104</v>
      </c>
      <c r="G6337" s="13">
        <v>55481</v>
      </c>
      <c r="I6337" t="s">
        <v>189</v>
      </c>
      <c r="J6337" t="s">
        <v>984</v>
      </c>
      <c r="K6337" t="s">
        <v>69</v>
      </c>
      <c r="L6337">
        <v>3600040668</v>
      </c>
    </row>
    <row r="6338" spans="3:12">
      <c r="C6338">
        <v>2100300025</v>
      </c>
      <c r="D6338">
        <v>6426000</v>
      </c>
      <c r="E6338" t="s">
        <v>188</v>
      </c>
      <c r="F6338">
        <v>5104010104</v>
      </c>
      <c r="G6338" s="13">
        <v>1942</v>
      </c>
      <c r="I6338" t="s">
        <v>189</v>
      </c>
      <c r="J6338" t="s">
        <v>985</v>
      </c>
      <c r="K6338" t="s">
        <v>69</v>
      </c>
      <c r="L6338">
        <v>3600041208</v>
      </c>
    </row>
    <row r="6339" spans="3:12">
      <c r="C6339">
        <v>2100300025</v>
      </c>
      <c r="D6339">
        <v>6426000</v>
      </c>
      <c r="E6339" t="s">
        <v>188</v>
      </c>
      <c r="F6339">
        <v>5104010104</v>
      </c>
      <c r="G6339" s="13">
        <v>18480.400000000001</v>
      </c>
      <c r="I6339" t="s">
        <v>189</v>
      </c>
      <c r="J6339" t="s">
        <v>870</v>
      </c>
      <c r="K6339" t="s">
        <v>69</v>
      </c>
      <c r="L6339">
        <v>3600042184</v>
      </c>
    </row>
    <row r="6340" spans="3:12">
      <c r="C6340">
        <v>2100300025</v>
      </c>
      <c r="D6340">
        <v>6426000</v>
      </c>
      <c r="E6340" t="s">
        <v>188</v>
      </c>
      <c r="F6340">
        <v>5104010104</v>
      </c>
      <c r="G6340" s="13">
        <v>58261.5</v>
      </c>
      <c r="I6340" t="s">
        <v>189</v>
      </c>
      <c r="J6340" t="s">
        <v>983</v>
      </c>
      <c r="K6340" t="s">
        <v>69</v>
      </c>
      <c r="L6340">
        <v>3600037833</v>
      </c>
    </row>
    <row r="6341" spans="3:12">
      <c r="C6341">
        <v>2100300025</v>
      </c>
      <c r="D6341">
        <v>6426000</v>
      </c>
      <c r="E6341" t="s">
        <v>188</v>
      </c>
      <c r="F6341">
        <v>5104010107</v>
      </c>
      <c r="G6341" s="13">
        <v>1100</v>
      </c>
      <c r="I6341" t="s">
        <v>189</v>
      </c>
      <c r="J6341" t="s">
        <v>926</v>
      </c>
      <c r="K6341" t="s">
        <v>154</v>
      </c>
      <c r="L6341">
        <v>3600022741</v>
      </c>
    </row>
    <row r="6342" spans="3:12">
      <c r="C6342">
        <v>2100300025</v>
      </c>
      <c r="D6342">
        <v>6426000</v>
      </c>
      <c r="E6342" t="s">
        <v>188</v>
      </c>
      <c r="F6342">
        <v>5104010107</v>
      </c>
      <c r="G6342" s="13">
        <v>1000</v>
      </c>
      <c r="I6342" t="s">
        <v>189</v>
      </c>
      <c r="J6342" t="s">
        <v>847</v>
      </c>
      <c r="K6342" t="s">
        <v>154</v>
      </c>
      <c r="L6342">
        <v>3600029118</v>
      </c>
    </row>
    <row r="6343" spans="3:12">
      <c r="C6343">
        <v>2100300025</v>
      </c>
      <c r="D6343">
        <v>6426000</v>
      </c>
      <c r="E6343" t="s">
        <v>188</v>
      </c>
      <c r="F6343">
        <v>5104010107</v>
      </c>
      <c r="G6343" s="13">
        <v>2200</v>
      </c>
      <c r="I6343" t="s">
        <v>189</v>
      </c>
      <c r="J6343" t="s">
        <v>559</v>
      </c>
      <c r="K6343" t="s">
        <v>154</v>
      </c>
      <c r="L6343">
        <v>3600030846</v>
      </c>
    </row>
    <row r="6344" spans="3:12">
      <c r="C6344">
        <v>2100300025</v>
      </c>
      <c r="D6344">
        <v>6426000</v>
      </c>
      <c r="E6344" t="s">
        <v>188</v>
      </c>
      <c r="F6344">
        <v>5104010107</v>
      </c>
      <c r="G6344">
        <v>100</v>
      </c>
      <c r="I6344" t="s">
        <v>189</v>
      </c>
      <c r="J6344" t="s">
        <v>970</v>
      </c>
      <c r="K6344" t="s">
        <v>154</v>
      </c>
      <c r="L6344">
        <v>3600032636</v>
      </c>
    </row>
    <row r="6345" spans="3:12">
      <c r="C6345">
        <v>2100300025</v>
      </c>
      <c r="D6345">
        <v>6426000</v>
      </c>
      <c r="E6345" t="s">
        <v>188</v>
      </c>
      <c r="F6345">
        <v>5104010107</v>
      </c>
      <c r="G6345" s="13">
        <v>1040</v>
      </c>
      <c r="I6345" t="s">
        <v>189</v>
      </c>
      <c r="J6345" t="s">
        <v>981</v>
      </c>
      <c r="K6345" t="s">
        <v>154</v>
      </c>
      <c r="L6345">
        <v>3600037875</v>
      </c>
    </row>
    <row r="6346" spans="3:12">
      <c r="C6346">
        <v>2100300025</v>
      </c>
      <c r="D6346">
        <v>6426000</v>
      </c>
      <c r="E6346" t="s">
        <v>188</v>
      </c>
      <c r="F6346">
        <v>5104010107</v>
      </c>
      <c r="G6346">
        <v>800</v>
      </c>
      <c r="I6346" t="s">
        <v>189</v>
      </c>
      <c r="J6346" t="s">
        <v>891</v>
      </c>
      <c r="K6346" t="s">
        <v>154</v>
      </c>
      <c r="L6346">
        <v>3600007181</v>
      </c>
    </row>
    <row r="6347" spans="3:12">
      <c r="C6347">
        <v>2100300025</v>
      </c>
      <c r="D6347">
        <v>6426000</v>
      </c>
      <c r="E6347" t="s">
        <v>188</v>
      </c>
      <c r="F6347">
        <v>5104010107</v>
      </c>
      <c r="G6347" s="13">
        <v>2461</v>
      </c>
      <c r="I6347" t="s">
        <v>189</v>
      </c>
      <c r="J6347" t="s">
        <v>836</v>
      </c>
      <c r="K6347" t="s">
        <v>154</v>
      </c>
      <c r="L6347">
        <v>3600024047</v>
      </c>
    </row>
    <row r="6348" spans="3:12">
      <c r="C6348">
        <v>2100300025</v>
      </c>
      <c r="D6348">
        <v>6426000</v>
      </c>
      <c r="E6348" t="s">
        <v>188</v>
      </c>
      <c r="F6348">
        <v>5104010110</v>
      </c>
      <c r="G6348" s="13">
        <v>13995</v>
      </c>
      <c r="I6348" t="s">
        <v>189</v>
      </c>
      <c r="J6348" t="s">
        <v>848</v>
      </c>
      <c r="K6348" t="s">
        <v>73</v>
      </c>
      <c r="L6348">
        <v>3600031631</v>
      </c>
    </row>
    <row r="6349" spans="3:12">
      <c r="C6349">
        <v>2100300025</v>
      </c>
      <c r="D6349">
        <v>6426000</v>
      </c>
      <c r="E6349" t="s">
        <v>188</v>
      </c>
      <c r="F6349">
        <v>5104010110</v>
      </c>
      <c r="G6349" s="13">
        <v>13070.1</v>
      </c>
      <c r="I6349" t="s">
        <v>189</v>
      </c>
      <c r="J6349" t="s">
        <v>985</v>
      </c>
      <c r="K6349" t="s">
        <v>73</v>
      </c>
      <c r="L6349">
        <v>3600041208</v>
      </c>
    </row>
    <row r="6350" spans="3:12">
      <c r="C6350">
        <v>2100300025</v>
      </c>
      <c r="D6350">
        <v>6426000</v>
      </c>
      <c r="E6350" t="s">
        <v>188</v>
      </c>
      <c r="F6350">
        <v>5104010112</v>
      </c>
      <c r="G6350" s="13">
        <v>2000</v>
      </c>
      <c r="I6350" t="s">
        <v>189</v>
      </c>
      <c r="J6350" t="s">
        <v>877</v>
      </c>
      <c r="K6350" t="s">
        <v>490</v>
      </c>
      <c r="L6350">
        <v>3600000665</v>
      </c>
    </row>
    <row r="6351" spans="3:12">
      <c r="C6351">
        <v>2100300025</v>
      </c>
      <c r="D6351">
        <v>6426000</v>
      </c>
      <c r="E6351" t="s">
        <v>188</v>
      </c>
      <c r="F6351">
        <v>5104010112</v>
      </c>
      <c r="G6351" s="13">
        <v>117260</v>
      </c>
      <c r="I6351" t="s">
        <v>189</v>
      </c>
      <c r="J6351" t="s">
        <v>878</v>
      </c>
      <c r="K6351" t="s">
        <v>490</v>
      </c>
      <c r="L6351">
        <v>3600002083</v>
      </c>
    </row>
    <row r="6352" spans="3:12">
      <c r="C6352">
        <v>2100300025</v>
      </c>
      <c r="D6352">
        <v>6426000</v>
      </c>
      <c r="E6352" t="s">
        <v>188</v>
      </c>
      <c r="F6352">
        <v>5104010112</v>
      </c>
      <c r="G6352">
        <v>700</v>
      </c>
      <c r="I6352" t="s">
        <v>189</v>
      </c>
      <c r="J6352" t="s">
        <v>883</v>
      </c>
      <c r="K6352" t="s">
        <v>490</v>
      </c>
      <c r="L6352">
        <v>3600005478</v>
      </c>
    </row>
    <row r="6353" spans="3:12">
      <c r="C6353">
        <v>2100300025</v>
      </c>
      <c r="D6353">
        <v>6426000</v>
      </c>
      <c r="E6353" t="s">
        <v>188</v>
      </c>
      <c r="F6353">
        <v>5104010112</v>
      </c>
      <c r="G6353" s="13">
        <v>106830</v>
      </c>
      <c r="I6353" t="s">
        <v>189</v>
      </c>
      <c r="J6353" t="s">
        <v>887</v>
      </c>
      <c r="K6353" t="s">
        <v>490</v>
      </c>
      <c r="L6353">
        <v>3600005828</v>
      </c>
    </row>
    <row r="6354" spans="3:12">
      <c r="C6354">
        <v>2100300025</v>
      </c>
      <c r="D6354">
        <v>6426000</v>
      </c>
      <c r="E6354" t="s">
        <v>188</v>
      </c>
      <c r="F6354">
        <v>5104010112</v>
      </c>
      <c r="G6354" s="13">
        <v>2020</v>
      </c>
      <c r="I6354" t="s">
        <v>189</v>
      </c>
      <c r="J6354" t="s">
        <v>871</v>
      </c>
      <c r="K6354" t="s">
        <v>490</v>
      </c>
      <c r="L6354">
        <v>3600013182</v>
      </c>
    </row>
    <row r="6355" spans="3:12">
      <c r="C6355">
        <v>2100300025</v>
      </c>
      <c r="D6355">
        <v>6426000</v>
      </c>
      <c r="E6355" t="s">
        <v>188</v>
      </c>
      <c r="F6355">
        <v>5104010110</v>
      </c>
      <c r="G6355" s="13">
        <v>7800</v>
      </c>
      <c r="I6355" t="s">
        <v>189</v>
      </c>
      <c r="J6355" t="s">
        <v>882</v>
      </c>
      <c r="K6355" t="s">
        <v>73</v>
      </c>
      <c r="L6355">
        <v>3600004607</v>
      </c>
    </row>
    <row r="6356" spans="3:12">
      <c r="C6356">
        <v>2100300025</v>
      </c>
      <c r="D6356">
        <v>6426000</v>
      </c>
      <c r="E6356" t="s">
        <v>188</v>
      </c>
      <c r="F6356">
        <v>5104010110</v>
      </c>
      <c r="G6356" s="13">
        <v>11460</v>
      </c>
      <c r="I6356" t="s">
        <v>189</v>
      </c>
      <c r="J6356" t="s">
        <v>899</v>
      </c>
      <c r="K6356" t="s">
        <v>73</v>
      </c>
      <c r="L6356">
        <v>3600009120</v>
      </c>
    </row>
    <row r="6357" spans="3:12">
      <c r="C6357">
        <v>2100300025</v>
      </c>
      <c r="D6357">
        <v>6426000</v>
      </c>
      <c r="E6357" t="s">
        <v>188</v>
      </c>
      <c r="F6357">
        <v>5104010110</v>
      </c>
      <c r="G6357" s="13">
        <v>18750</v>
      </c>
      <c r="I6357" t="s">
        <v>189</v>
      </c>
      <c r="J6357" t="s">
        <v>824</v>
      </c>
      <c r="K6357" t="s">
        <v>73</v>
      </c>
      <c r="L6357">
        <v>3600019825</v>
      </c>
    </row>
    <row r="6358" spans="3:12">
      <c r="C6358">
        <v>2100300025</v>
      </c>
      <c r="D6358">
        <v>6426000</v>
      </c>
      <c r="E6358" t="s">
        <v>188</v>
      </c>
      <c r="F6358">
        <v>5104010110</v>
      </c>
      <c r="G6358" s="13">
        <v>13983.1</v>
      </c>
      <c r="I6358" t="s">
        <v>189</v>
      </c>
      <c r="J6358" t="s">
        <v>926</v>
      </c>
      <c r="K6358" t="s">
        <v>73</v>
      </c>
      <c r="L6358">
        <v>3600023007</v>
      </c>
    </row>
    <row r="6359" spans="3:12">
      <c r="C6359">
        <v>2100300025</v>
      </c>
      <c r="D6359">
        <v>6426000</v>
      </c>
      <c r="E6359" t="s">
        <v>188</v>
      </c>
      <c r="F6359">
        <v>5104010110</v>
      </c>
      <c r="G6359" s="13">
        <v>10570</v>
      </c>
      <c r="I6359" t="s">
        <v>189</v>
      </c>
      <c r="J6359" t="s">
        <v>977</v>
      </c>
      <c r="K6359" t="s">
        <v>73</v>
      </c>
      <c r="L6359">
        <v>3600036624</v>
      </c>
    </row>
    <row r="6360" spans="3:12">
      <c r="C6360">
        <v>2100300025</v>
      </c>
      <c r="D6360">
        <v>6426000</v>
      </c>
      <c r="E6360" t="s">
        <v>188</v>
      </c>
      <c r="F6360">
        <v>5104010112</v>
      </c>
      <c r="G6360" s="13">
        <v>84960</v>
      </c>
      <c r="I6360" t="s">
        <v>189</v>
      </c>
      <c r="J6360" t="s">
        <v>875</v>
      </c>
      <c r="K6360" t="s">
        <v>490</v>
      </c>
      <c r="L6360">
        <v>3600000690</v>
      </c>
    </row>
    <row r="6361" spans="3:12">
      <c r="C6361">
        <v>2100300025</v>
      </c>
      <c r="D6361">
        <v>6426000</v>
      </c>
      <c r="E6361" t="s">
        <v>188</v>
      </c>
      <c r="F6361">
        <v>5104010112</v>
      </c>
      <c r="G6361" s="13">
        <v>6535</v>
      </c>
      <c r="I6361" t="s">
        <v>189</v>
      </c>
      <c r="J6361" t="s">
        <v>787</v>
      </c>
      <c r="K6361" t="s">
        <v>490</v>
      </c>
      <c r="L6361">
        <v>3600004218</v>
      </c>
    </row>
    <row r="6362" spans="3:12">
      <c r="C6362">
        <v>2100300025</v>
      </c>
      <c r="D6362">
        <v>6426000</v>
      </c>
      <c r="E6362" t="s">
        <v>188</v>
      </c>
      <c r="F6362">
        <v>5104010112</v>
      </c>
      <c r="G6362" s="13">
        <v>2010</v>
      </c>
      <c r="I6362" t="s">
        <v>189</v>
      </c>
      <c r="J6362" t="s">
        <v>899</v>
      </c>
      <c r="K6362" t="s">
        <v>490</v>
      </c>
      <c r="L6362">
        <v>3600009324</v>
      </c>
    </row>
    <row r="6363" spans="3:12">
      <c r="C6363">
        <v>2100300025</v>
      </c>
      <c r="D6363">
        <v>6426000</v>
      </c>
      <c r="E6363" t="s">
        <v>188</v>
      </c>
      <c r="F6363">
        <v>5104010112</v>
      </c>
      <c r="G6363" s="13">
        <v>2000</v>
      </c>
      <c r="I6363" t="s">
        <v>189</v>
      </c>
      <c r="J6363" t="s">
        <v>903</v>
      </c>
      <c r="K6363" t="s">
        <v>490</v>
      </c>
      <c r="L6363">
        <v>3600014548</v>
      </c>
    </row>
    <row r="6364" spans="3:12">
      <c r="C6364">
        <v>2100300025</v>
      </c>
      <c r="D6364">
        <v>6426000</v>
      </c>
      <c r="E6364" t="s">
        <v>188</v>
      </c>
      <c r="F6364">
        <v>5104010112</v>
      </c>
      <c r="G6364" s="13">
        <v>1000</v>
      </c>
      <c r="I6364" t="s">
        <v>189</v>
      </c>
      <c r="J6364" t="s">
        <v>567</v>
      </c>
      <c r="K6364" t="s">
        <v>490</v>
      </c>
      <c r="L6364">
        <v>3600014076</v>
      </c>
    </row>
    <row r="6365" spans="3:12">
      <c r="C6365">
        <v>2100300025</v>
      </c>
      <c r="D6365">
        <v>6426000</v>
      </c>
      <c r="E6365" t="s">
        <v>188</v>
      </c>
      <c r="F6365">
        <v>5104010112</v>
      </c>
      <c r="G6365" s="13">
        <v>39130</v>
      </c>
      <c r="I6365" t="s">
        <v>189</v>
      </c>
      <c r="J6365" t="s">
        <v>914</v>
      </c>
      <c r="K6365" t="s">
        <v>490</v>
      </c>
      <c r="L6365">
        <v>3600017100</v>
      </c>
    </row>
    <row r="6366" spans="3:12">
      <c r="C6366">
        <v>2100300025</v>
      </c>
      <c r="D6366">
        <v>6426000</v>
      </c>
      <c r="E6366" t="s">
        <v>188</v>
      </c>
      <c r="F6366">
        <v>5104010112</v>
      </c>
      <c r="G6366" s="13">
        <v>2000</v>
      </c>
      <c r="I6366" t="s">
        <v>189</v>
      </c>
      <c r="J6366" t="s">
        <v>916</v>
      </c>
      <c r="K6366" t="s">
        <v>490</v>
      </c>
      <c r="L6366">
        <v>3600017400</v>
      </c>
    </row>
    <row r="6367" spans="3:12">
      <c r="C6367">
        <v>2100300025</v>
      </c>
      <c r="D6367">
        <v>6426000</v>
      </c>
      <c r="E6367" t="s">
        <v>188</v>
      </c>
      <c r="F6367">
        <v>5104010112</v>
      </c>
      <c r="G6367" s="13">
        <v>211720</v>
      </c>
      <c r="I6367" t="s">
        <v>189</v>
      </c>
      <c r="J6367" t="s">
        <v>799</v>
      </c>
      <c r="K6367" t="s">
        <v>490</v>
      </c>
      <c r="L6367">
        <v>3600016871</v>
      </c>
    </row>
    <row r="6368" spans="3:12">
      <c r="C6368">
        <v>2100300025</v>
      </c>
      <c r="D6368">
        <v>6426000</v>
      </c>
      <c r="E6368" t="s">
        <v>188</v>
      </c>
      <c r="F6368">
        <v>5104010112</v>
      </c>
      <c r="G6368" s="13">
        <v>210520</v>
      </c>
      <c r="I6368" t="s">
        <v>189</v>
      </c>
      <c r="J6368" t="s">
        <v>801</v>
      </c>
      <c r="K6368" t="s">
        <v>490</v>
      </c>
      <c r="L6368">
        <v>3600020645</v>
      </c>
    </row>
    <row r="6369" spans="3:12">
      <c r="C6369">
        <v>2100300025</v>
      </c>
      <c r="D6369">
        <v>6426000</v>
      </c>
      <c r="E6369" t="s">
        <v>188</v>
      </c>
      <c r="F6369">
        <v>5104010112</v>
      </c>
      <c r="G6369" s="13">
        <v>7500</v>
      </c>
      <c r="I6369" t="s">
        <v>189</v>
      </c>
      <c r="J6369" t="s">
        <v>926</v>
      </c>
      <c r="K6369" t="s">
        <v>490</v>
      </c>
      <c r="L6369">
        <v>3600023007</v>
      </c>
    </row>
    <row r="6370" spans="3:12">
      <c r="C6370">
        <v>2100300025</v>
      </c>
      <c r="D6370">
        <v>6426000</v>
      </c>
      <c r="E6370" t="s">
        <v>188</v>
      </c>
      <c r="F6370">
        <v>5104010112</v>
      </c>
      <c r="G6370" s="13">
        <v>1945</v>
      </c>
      <c r="I6370" t="s">
        <v>189</v>
      </c>
      <c r="J6370" t="s">
        <v>926</v>
      </c>
      <c r="K6370" t="s">
        <v>490</v>
      </c>
      <c r="L6370">
        <v>3600022741</v>
      </c>
    </row>
    <row r="6371" spans="3:12">
      <c r="C6371">
        <v>2100300025</v>
      </c>
      <c r="D6371">
        <v>6426000</v>
      </c>
      <c r="E6371" t="s">
        <v>188</v>
      </c>
      <c r="F6371">
        <v>5104010112</v>
      </c>
      <c r="G6371" s="13">
        <v>2940</v>
      </c>
      <c r="I6371" t="s">
        <v>189</v>
      </c>
      <c r="J6371" t="s">
        <v>564</v>
      </c>
      <c r="K6371" t="s">
        <v>490</v>
      </c>
      <c r="L6371">
        <v>3600019866</v>
      </c>
    </row>
    <row r="6372" spans="3:12">
      <c r="C6372">
        <v>2100300025</v>
      </c>
      <c r="D6372">
        <v>6426000</v>
      </c>
      <c r="E6372" t="s">
        <v>188</v>
      </c>
      <c r="F6372">
        <v>5104010112</v>
      </c>
      <c r="G6372" s="13">
        <v>10500</v>
      </c>
      <c r="I6372" t="s">
        <v>189</v>
      </c>
      <c r="J6372" t="s">
        <v>932</v>
      </c>
      <c r="K6372" t="s">
        <v>490</v>
      </c>
      <c r="L6372">
        <v>3600023582</v>
      </c>
    </row>
    <row r="6373" spans="3:12">
      <c r="C6373">
        <v>2100300025</v>
      </c>
      <c r="D6373">
        <v>6426000</v>
      </c>
      <c r="E6373" t="s">
        <v>188</v>
      </c>
      <c r="F6373">
        <v>5104010112</v>
      </c>
      <c r="G6373" s="13">
        <v>17600</v>
      </c>
      <c r="I6373" t="s">
        <v>189</v>
      </c>
      <c r="J6373" t="s">
        <v>932</v>
      </c>
      <c r="K6373" t="s">
        <v>490</v>
      </c>
      <c r="L6373">
        <v>3600021985</v>
      </c>
    </row>
    <row r="6374" spans="3:12">
      <c r="C6374">
        <v>2100300025</v>
      </c>
      <c r="D6374">
        <v>6426000</v>
      </c>
      <c r="E6374" t="s">
        <v>188</v>
      </c>
      <c r="F6374">
        <v>5104010112</v>
      </c>
      <c r="G6374" s="13">
        <v>80630</v>
      </c>
      <c r="I6374" t="s">
        <v>189</v>
      </c>
      <c r="J6374" t="s">
        <v>941</v>
      </c>
      <c r="K6374" t="s">
        <v>490</v>
      </c>
      <c r="L6374">
        <v>3600024267</v>
      </c>
    </row>
    <row r="6375" spans="3:12">
      <c r="C6375">
        <v>2100300025</v>
      </c>
      <c r="D6375">
        <v>6426000</v>
      </c>
      <c r="E6375" t="s">
        <v>188</v>
      </c>
      <c r="F6375">
        <v>5104010112</v>
      </c>
      <c r="G6375" s="13">
        <v>2000</v>
      </c>
      <c r="I6375" t="s">
        <v>189</v>
      </c>
      <c r="J6375" t="s">
        <v>947</v>
      </c>
      <c r="K6375" t="s">
        <v>490</v>
      </c>
      <c r="L6375">
        <v>3600029970</v>
      </c>
    </row>
    <row r="6376" spans="3:12">
      <c r="C6376">
        <v>2100300025</v>
      </c>
      <c r="D6376">
        <v>6426000</v>
      </c>
      <c r="E6376" t="s">
        <v>188</v>
      </c>
      <c r="F6376">
        <v>5104010112</v>
      </c>
      <c r="G6376" s="13">
        <v>3100</v>
      </c>
      <c r="I6376" t="s">
        <v>189</v>
      </c>
      <c r="J6376" t="s">
        <v>946</v>
      </c>
      <c r="K6376" t="s">
        <v>490</v>
      </c>
      <c r="L6376">
        <v>3600030388</v>
      </c>
    </row>
    <row r="6377" spans="3:12">
      <c r="C6377">
        <v>2100300025</v>
      </c>
      <c r="D6377">
        <v>6426000</v>
      </c>
      <c r="E6377" t="s">
        <v>188</v>
      </c>
      <c r="F6377">
        <v>5104010112</v>
      </c>
      <c r="G6377" s="13">
        <v>15120</v>
      </c>
      <c r="I6377" t="s">
        <v>189</v>
      </c>
      <c r="J6377" t="s">
        <v>948</v>
      </c>
      <c r="K6377" t="s">
        <v>490</v>
      </c>
      <c r="L6377">
        <v>3600029019</v>
      </c>
    </row>
    <row r="6378" spans="3:12">
      <c r="C6378">
        <v>2100300025</v>
      </c>
      <c r="D6378">
        <v>6426000</v>
      </c>
      <c r="E6378" t="s">
        <v>188</v>
      </c>
      <c r="F6378">
        <v>5104010112</v>
      </c>
      <c r="G6378" s="13">
        <v>5110</v>
      </c>
      <c r="I6378" t="s">
        <v>189</v>
      </c>
      <c r="J6378" t="s">
        <v>948</v>
      </c>
      <c r="K6378" t="s">
        <v>490</v>
      </c>
      <c r="L6378">
        <v>3600028916</v>
      </c>
    </row>
    <row r="6379" spans="3:12">
      <c r="C6379">
        <v>2100300025</v>
      </c>
      <c r="D6379">
        <v>6426000</v>
      </c>
      <c r="E6379" t="s">
        <v>188</v>
      </c>
      <c r="F6379">
        <v>5104010112</v>
      </c>
      <c r="G6379" s="13">
        <v>1805</v>
      </c>
      <c r="I6379" t="s">
        <v>189</v>
      </c>
      <c r="J6379" t="s">
        <v>848</v>
      </c>
      <c r="K6379" t="s">
        <v>490</v>
      </c>
      <c r="L6379">
        <v>3600031630</v>
      </c>
    </row>
    <row r="6380" spans="3:12">
      <c r="C6380">
        <v>2100300025</v>
      </c>
      <c r="D6380">
        <v>6426000</v>
      </c>
      <c r="E6380" t="s">
        <v>188</v>
      </c>
      <c r="F6380">
        <v>5104010112</v>
      </c>
      <c r="G6380" s="13">
        <v>42160</v>
      </c>
      <c r="I6380" t="s">
        <v>189</v>
      </c>
      <c r="J6380" t="s">
        <v>952</v>
      </c>
      <c r="K6380" t="s">
        <v>490</v>
      </c>
      <c r="L6380">
        <v>3600030329</v>
      </c>
    </row>
    <row r="6381" spans="3:12">
      <c r="C6381">
        <v>2100300025</v>
      </c>
      <c r="D6381">
        <v>6426000</v>
      </c>
      <c r="E6381" t="s">
        <v>188</v>
      </c>
      <c r="F6381">
        <v>5104010112</v>
      </c>
      <c r="G6381" s="13">
        <v>2000</v>
      </c>
      <c r="I6381" t="s">
        <v>189</v>
      </c>
      <c r="J6381" t="s">
        <v>963</v>
      </c>
      <c r="K6381" t="s">
        <v>490</v>
      </c>
      <c r="L6381">
        <v>3600032590</v>
      </c>
    </row>
    <row r="6382" spans="3:12">
      <c r="C6382">
        <v>2100300025</v>
      </c>
      <c r="D6382">
        <v>6426000</v>
      </c>
      <c r="E6382" t="s">
        <v>188</v>
      </c>
      <c r="F6382">
        <v>5104010112</v>
      </c>
      <c r="G6382" s="13">
        <v>101410</v>
      </c>
      <c r="I6382" t="s">
        <v>189</v>
      </c>
      <c r="J6382" t="s">
        <v>967</v>
      </c>
      <c r="K6382" t="s">
        <v>490</v>
      </c>
      <c r="L6382">
        <v>3600034904</v>
      </c>
    </row>
    <row r="6383" spans="3:12">
      <c r="C6383">
        <v>2100300025</v>
      </c>
      <c r="D6383">
        <v>6426000</v>
      </c>
      <c r="E6383" t="s">
        <v>188</v>
      </c>
      <c r="F6383">
        <v>5104010112</v>
      </c>
      <c r="G6383" s="13">
        <v>12700</v>
      </c>
      <c r="I6383" t="s">
        <v>189</v>
      </c>
      <c r="J6383" t="s">
        <v>970</v>
      </c>
      <c r="K6383" t="s">
        <v>490</v>
      </c>
      <c r="L6383">
        <v>3600034930</v>
      </c>
    </row>
    <row r="6384" spans="3:12">
      <c r="C6384">
        <v>2100300025</v>
      </c>
      <c r="D6384">
        <v>6426000</v>
      </c>
      <c r="E6384" t="s">
        <v>188</v>
      </c>
      <c r="F6384">
        <v>5104010110</v>
      </c>
      <c r="G6384" s="13">
        <v>14050</v>
      </c>
      <c r="I6384" t="s">
        <v>189</v>
      </c>
      <c r="J6384" t="s">
        <v>880</v>
      </c>
      <c r="K6384" t="s">
        <v>73</v>
      </c>
      <c r="L6384">
        <v>3600000128</v>
      </c>
    </row>
    <row r="6385" spans="3:12">
      <c r="C6385">
        <v>2100300025</v>
      </c>
      <c r="D6385">
        <v>6426000</v>
      </c>
      <c r="E6385" t="s">
        <v>188</v>
      </c>
      <c r="F6385">
        <v>5104010110</v>
      </c>
      <c r="G6385" s="13">
        <v>8960</v>
      </c>
      <c r="I6385" t="s">
        <v>189</v>
      </c>
      <c r="J6385" t="s">
        <v>906</v>
      </c>
      <c r="K6385" t="s">
        <v>73</v>
      </c>
      <c r="L6385">
        <v>3600013999</v>
      </c>
    </row>
    <row r="6386" spans="3:12">
      <c r="C6386">
        <v>2100300025</v>
      </c>
      <c r="D6386">
        <v>6426000</v>
      </c>
      <c r="E6386" t="s">
        <v>188</v>
      </c>
      <c r="F6386">
        <v>5104010110</v>
      </c>
      <c r="G6386" s="13">
        <v>10212.1</v>
      </c>
      <c r="I6386" t="s">
        <v>189</v>
      </c>
      <c r="J6386" t="s">
        <v>922</v>
      </c>
      <c r="K6386" t="s">
        <v>73</v>
      </c>
      <c r="L6386">
        <v>3600020195</v>
      </c>
    </row>
    <row r="6387" spans="3:12">
      <c r="C6387">
        <v>2100300025</v>
      </c>
      <c r="D6387">
        <v>6426000</v>
      </c>
      <c r="E6387" t="s">
        <v>188</v>
      </c>
      <c r="F6387">
        <v>5104010110</v>
      </c>
      <c r="G6387" s="13">
        <v>10260</v>
      </c>
      <c r="I6387" t="s">
        <v>189</v>
      </c>
      <c r="J6387" t="s">
        <v>934</v>
      </c>
      <c r="K6387" t="s">
        <v>73</v>
      </c>
      <c r="L6387">
        <v>3600025973</v>
      </c>
    </row>
    <row r="6388" spans="3:12">
      <c r="C6388">
        <v>2100300025</v>
      </c>
      <c r="D6388">
        <v>6426000</v>
      </c>
      <c r="E6388" t="s">
        <v>188</v>
      </c>
      <c r="F6388">
        <v>5104010112</v>
      </c>
      <c r="G6388" s="13">
        <v>7500</v>
      </c>
      <c r="I6388" t="s">
        <v>189</v>
      </c>
      <c r="J6388" t="s">
        <v>934</v>
      </c>
      <c r="K6388" t="s">
        <v>490</v>
      </c>
      <c r="L6388">
        <v>3600025973</v>
      </c>
    </row>
    <row r="6389" spans="3:12">
      <c r="C6389">
        <v>2100300025</v>
      </c>
      <c r="D6389">
        <v>6426000</v>
      </c>
      <c r="E6389" t="s">
        <v>188</v>
      </c>
      <c r="F6389">
        <v>5104010110</v>
      </c>
      <c r="G6389" s="13">
        <v>4630.3</v>
      </c>
      <c r="I6389" t="s">
        <v>189</v>
      </c>
      <c r="J6389" t="s">
        <v>841</v>
      </c>
      <c r="K6389" t="s">
        <v>73</v>
      </c>
      <c r="L6389">
        <v>3600028452</v>
      </c>
    </row>
    <row r="6390" spans="3:12">
      <c r="C6390">
        <v>2100300025</v>
      </c>
      <c r="D6390">
        <v>6426000</v>
      </c>
      <c r="E6390" t="s">
        <v>188</v>
      </c>
      <c r="F6390">
        <v>5104010112</v>
      </c>
      <c r="G6390" s="13">
        <v>7500</v>
      </c>
      <c r="I6390" t="s">
        <v>189</v>
      </c>
      <c r="J6390" t="s">
        <v>841</v>
      </c>
      <c r="K6390" t="s">
        <v>490</v>
      </c>
      <c r="L6390">
        <v>3600028452</v>
      </c>
    </row>
    <row r="6391" spans="3:12">
      <c r="C6391">
        <v>2100300025</v>
      </c>
      <c r="D6391">
        <v>6426000</v>
      </c>
      <c r="E6391" t="s">
        <v>188</v>
      </c>
      <c r="F6391">
        <v>5104010110</v>
      </c>
      <c r="G6391" s="13">
        <v>1000</v>
      </c>
      <c r="I6391" t="s">
        <v>189</v>
      </c>
      <c r="J6391" t="s">
        <v>561</v>
      </c>
      <c r="K6391" t="s">
        <v>73</v>
      </c>
      <c r="L6391">
        <v>3600023656</v>
      </c>
    </row>
    <row r="6392" spans="3:12">
      <c r="C6392">
        <v>2100300025</v>
      </c>
      <c r="D6392">
        <v>6426000</v>
      </c>
      <c r="E6392" t="s">
        <v>188</v>
      </c>
      <c r="F6392">
        <v>5104010112</v>
      </c>
      <c r="G6392" s="13">
        <v>2000</v>
      </c>
      <c r="I6392" t="s">
        <v>189</v>
      </c>
      <c r="J6392" t="s">
        <v>561</v>
      </c>
      <c r="K6392" t="s">
        <v>490</v>
      </c>
      <c r="L6392">
        <v>3600023656</v>
      </c>
    </row>
    <row r="6393" spans="3:12">
      <c r="C6393">
        <v>2100300025</v>
      </c>
      <c r="D6393">
        <v>6426000</v>
      </c>
      <c r="E6393" t="s">
        <v>188</v>
      </c>
      <c r="F6393">
        <v>5104010110</v>
      </c>
      <c r="G6393" s="13">
        <v>11136.6</v>
      </c>
      <c r="I6393" t="s">
        <v>189</v>
      </c>
      <c r="J6393" t="s">
        <v>958</v>
      </c>
      <c r="K6393" t="s">
        <v>73</v>
      </c>
      <c r="L6393">
        <v>3600030988</v>
      </c>
    </row>
    <row r="6394" spans="3:12">
      <c r="C6394">
        <v>2100300025</v>
      </c>
      <c r="D6394">
        <v>6426000</v>
      </c>
      <c r="E6394" t="s">
        <v>188</v>
      </c>
      <c r="F6394">
        <v>5104010112</v>
      </c>
      <c r="G6394" s="13">
        <v>5000</v>
      </c>
      <c r="I6394" t="s">
        <v>189</v>
      </c>
      <c r="J6394" t="s">
        <v>883</v>
      </c>
      <c r="K6394" t="s">
        <v>490</v>
      </c>
      <c r="L6394">
        <v>3600004263</v>
      </c>
    </row>
    <row r="6395" spans="3:12">
      <c r="C6395">
        <v>2100300025</v>
      </c>
      <c r="D6395">
        <v>6426000</v>
      </c>
      <c r="E6395" t="s">
        <v>188</v>
      </c>
      <c r="F6395">
        <v>5104010112</v>
      </c>
      <c r="G6395" s="13">
        <v>21820</v>
      </c>
      <c r="I6395" t="s">
        <v>189</v>
      </c>
      <c r="J6395" t="s">
        <v>871</v>
      </c>
      <c r="K6395" t="s">
        <v>490</v>
      </c>
      <c r="L6395">
        <v>3600013181</v>
      </c>
    </row>
    <row r="6396" spans="3:12">
      <c r="C6396">
        <v>2100300025</v>
      </c>
      <c r="D6396">
        <v>6426000</v>
      </c>
      <c r="E6396" t="s">
        <v>188</v>
      </c>
      <c r="F6396">
        <v>5104010112</v>
      </c>
      <c r="G6396" s="13">
        <v>26180</v>
      </c>
      <c r="I6396" t="s">
        <v>189</v>
      </c>
      <c r="J6396" t="s">
        <v>899</v>
      </c>
      <c r="K6396" t="s">
        <v>490</v>
      </c>
      <c r="L6396">
        <v>3600009119</v>
      </c>
    </row>
    <row r="6397" spans="3:12">
      <c r="C6397">
        <v>2100300025</v>
      </c>
      <c r="D6397">
        <v>6426000</v>
      </c>
      <c r="E6397" t="s">
        <v>188</v>
      </c>
      <c r="F6397">
        <v>5104010112</v>
      </c>
      <c r="G6397" s="13">
        <v>3550</v>
      </c>
      <c r="I6397" t="s">
        <v>189</v>
      </c>
      <c r="J6397" t="s">
        <v>902</v>
      </c>
      <c r="K6397" t="s">
        <v>490</v>
      </c>
      <c r="L6397">
        <v>3600013573</v>
      </c>
    </row>
    <row r="6398" spans="3:12">
      <c r="C6398">
        <v>2100300025</v>
      </c>
      <c r="D6398">
        <v>6426000</v>
      </c>
      <c r="E6398" t="s">
        <v>188</v>
      </c>
      <c r="F6398">
        <v>5104010112</v>
      </c>
      <c r="G6398" s="13">
        <v>19900</v>
      </c>
      <c r="I6398" t="s">
        <v>189</v>
      </c>
      <c r="J6398" t="s">
        <v>909</v>
      </c>
      <c r="K6398" t="s">
        <v>490</v>
      </c>
      <c r="L6398">
        <v>3600014712</v>
      </c>
    </row>
    <row r="6399" spans="3:12">
      <c r="C6399">
        <v>2100300025</v>
      </c>
      <c r="D6399">
        <v>6426000</v>
      </c>
      <c r="E6399" t="s">
        <v>188</v>
      </c>
      <c r="F6399">
        <v>5104010112</v>
      </c>
      <c r="G6399" s="13">
        <v>99800</v>
      </c>
      <c r="I6399" t="s">
        <v>189</v>
      </c>
      <c r="J6399" t="s">
        <v>567</v>
      </c>
      <c r="K6399" t="s">
        <v>490</v>
      </c>
      <c r="L6399">
        <v>3600015378</v>
      </c>
    </row>
    <row r="6400" spans="3:12">
      <c r="C6400">
        <v>2100300025</v>
      </c>
      <c r="D6400">
        <v>6426000</v>
      </c>
      <c r="E6400" t="s">
        <v>188</v>
      </c>
      <c r="F6400">
        <v>5104010112</v>
      </c>
      <c r="G6400" s="13">
        <v>25100</v>
      </c>
      <c r="I6400" t="s">
        <v>189</v>
      </c>
      <c r="J6400" t="s">
        <v>914</v>
      </c>
      <c r="K6400" t="s">
        <v>490</v>
      </c>
      <c r="L6400">
        <v>3600018084</v>
      </c>
    </row>
    <row r="6401" spans="3:12">
      <c r="C6401">
        <v>2100300025</v>
      </c>
      <c r="D6401">
        <v>6426000</v>
      </c>
      <c r="E6401" t="s">
        <v>188</v>
      </c>
      <c r="F6401">
        <v>5104010112</v>
      </c>
      <c r="G6401" s="13">
        <v>2500</v>
      </c>
      <c r="I6401" t="s">
        <v>189</v>
      </c>
      <c r="J6401" t="s">
        <v>799</v>
      </c>
      <c r="K6401" t="s">
        <v>490</v>
      </c>
      <c r="L6401">
        <v>3600017039</v>
      </c>
    </row>
    <row r="6402" spans="3:12">
      <c r="C6402">
        <v>2100300025</v>
      </c>
      <c r="D6402">
        <v>6426000</v>
      </c>
      <c r="E6402" t="s">
        <v>188</v>
      </c>
      <c r="F6402">
        <v>5104010112</v>
      </c>
      <c r="G6402" s="13">
        <v>2500</v>
      </c>
      <c r="I6402" t="s">
        <v>189</v>
      </c>
      <c r="J6402" t="s">
        <v>830</v>
      </c>
      <c r="K6402" t="s">
        <v>490</v>
      </c>
      <c r="L6402">
        <v>3600001037</v>
      </c>
    </row>
    <row r="6403" spans="3:12">
      <c r="C6403">
        <v>2100300025</v>
      </c>
      <c r="D6403">
        <v>6426000</v>
      </c>
      <c r="E6403" t="s">
        <v>188</v>
      </c>
      <c r="F6403">
        <v>5104010112</v>
      </c>
      <c r="G6403" s="13">
        <v>99290</v>
      </c>
      <c r="I6403" t="s">
        <v>189</v>
      </c>
      <c r="J6403" t="s">
        <v>933</v>
      </c>
      <c r="K6403" t="s">
        <v>490</v>
      </c>
      <c r="L6403">
        <v>3600006016</v>
      </c>
    </row>
    <row r="6404" spans="3:12">
      <c r="C6404">
        <v>2100300025</v>
      </c>
      <c r="D6404">
        <v>6426000</v>
      </c>
      <c r="E6404" t="s">
        <v>188</v>
      </c>
      <c r="F6404">
        <v>5104010112</v>
      </c>
      <c r="G6404" s="13">
        <v>2900</v>
      </c>
      <c r="I6404" t="s">
        <v>189</v>
      </c>
      <c r="J6404" t="s">
        <v>844</v>
      </c>
      <c r="K6404" t="s">
        <v>490</v>
      </c>
      <c r="L6404">
        <v>3600028061</v>
      </c>
    </row>
    <row r="6405" spans="3:12">
      <c r="C6405">
        <v>2100300025</v>
      </c>
      <c r="D6405">
        <v>6426000</v>
      </c>
      <c r="E6405" t="s">
        <v>188</v>
      </c>
      <c r="F6405">
        <v>5104010112</v>
      </c>
      <c r="G6405" s="13">
        <v>8000</v>
      </c>
      <c r="I6405" t="s">
        <v>189</v>
      </c>
      <c r="J6405" t="s">
        <v>956</v>
      </c>
      <c r="K6405" t="s">
        <v>490</v>
      </c>
      <c r="L6405">
        <v>3600031324</v>
      </c>
    </row>
    <row r="6406" spans="3:12">
      <c r="C6406">
        <v>2100300025</v>
      </c>
      <c r="D6406">
        <v>6426000</v>
      </c>
      <c r="E6406" t="s">
        <v>188</v>
      </c>
      <c r="F6406">
        <v>5104010112</v>
      </c>
      <c r="G6406" s="13">
        <v>25400</v>
      </c>
      <c r="I6406" t="s">
        <v>189</v>
      </c>
      <c r="J6406" t="s">
        <v>965</v>
      </c>
      <c r="K6406" t="s">
        <v>490</v>
      </c>
      <c r="L6406">
        <v>3600033808</v>
      </c>
    </row>
    <row r="6407" spans="3:12">
      <c r="C6407">
        <v>2100300025</v>
      </c>
      <c r="D6407">
        <v>6426000</v>
      </c>
      <c r="E6407" t="s">
        <v>188</v>
      </c>
      <c r="F6407">
        <v>5104010112</v>
      </c>
      <c r="G6407">
        <v>700</v>
      </c>
      <c r="I6407" t="s">
        <v>189</v>
      </c>
      <c r="J6407" t="s">
        <v>859</v>
      </c>
      <c r="K6407" t="s">
        <v>490</v>
      </c>
      <c r="L6407">
        <v>3600023967</v>
      </c>
    </row>
    <row r="6408" spans="3:12">
      <c r="C6408">
        <v>2100300025</v>
      </c>
      <c r="D6408">
        <v>6426000</v>
      </c>
      <c r="E6408" t="s">
        <v>188</v>
      </c>
      <c r="F6408">
        <v>5104010112</v>
      </c>
      <c r="G6408" s="13">
        <v>77560</v>
      </c>
      <c r="I6408" t="s">
        <v>189</v>
      </c>
      <c r="J6408" t="s">
        <v>977</v>
      </c>
      <c r="K6408" t="s">
        <v>490</v>
      </c>
      <c r="L6408">
        <v>3600036624</v>
      </c>
    </row>
    <row r="6409" spans="3:12">
      <c r="C6409">
        <v>2100300025</v>
      </c>
      <c r="D6409">
        <v>6426000</v>
      </c>
      <c r="E6409" t="s">
        <v>188</v>
      </c>
      <c r="F6409">
        <v>5104010112</v>
      </c>
      <c r="G6409" s="13">
        <v>2190</v>
      </c>
      <c r="I6409" t="s">
        <v>189</v>
      </c>
      <c r="J6409" t="s">
        <v>868</v>
      </c>
      <c r="K6409" t="s">
        <v>490</v>
      </c>
      <c r="L6409">
        <v>3600037820</v>
      </c>
    </row>
    <row r="6410" spans="3:12">
      <c r="C6410">
        <v>2100300025</v>
      </c>
      <c r="D6410">
        <v>6426000</v>
      </c>
      <c r="E6410" t="s">
        <v>188</v>
      </c>
      <c r="F6410">
        <v>5104010112</v>
      </c>
      <c r="G6410" s="13">
        <v>2900</v>
      </c>
      <c r="I6410" t="s">
        <v>189</v>
      </c>
      <c r="J6410" t="s">
        <v>979</v>
      </c>
      <c r="K6410" t="s">
        <v>490</v>
      </c>
      <c r="L6410">
        <v>3600037882</v>
      </c>
    </row>
    <row r="6411" spans="3:12">
      <c r="C6411">
        <v>2100300025</v>
      </c>
      <c r="D6411">
        <v>6426000</v>
      </c>
      <c r="E6411" t="s">
        <v>188</v>
      </c>
      <c r="F6411">
        <v>5104010112</v>
      </c>
      <c r="G6411" s="13">
        <v>2000</v>
      </c>
      <c r="I6411" t="s">
        <v>189</v>
      </c>
      <c r="J6411" t="s">
        <v>557</v>
      </c>
      <c r="K6411" t="s">
        <v>490</v>
      </c>
      <c r="L6411">
        <v>3600035186</v>
      </c>
    </row>
    <row r="6412" spans="3:12">
      <c r="C6412">
        <v>2100300025</v>
      </c>
      <c r="D6412">
        <v>6426000</v>
      </c>
      <c r="E6412" t="s">
        <v>188</v>
      </c>
      <c r="F6412">
        <v>5104010112</v>
      </c>
      <c r="G6412" s="13">
        <v>7500</v>
      </c>
      <c r="I6412" t="s">
        <v>189</v>
      </c>
      <c r="J6412" t="s">
        <v>986</v>
      </c>
      <c r="K6412" t="s">
        <v>490</v>
      </c>
      <c r="L6412">
        <v>3600042025</v>
      </c>
    </row>
    <row r="6413" spans="3:12">
      <c r="C6413">
        <v>2100300025</v>
      </c>
      <c r="D6413">
        <v>6426000</v>
      </c>
      <c r="E6413" t="s">
        <v>188</v>
      </c>
      <c r="F6413">
        <v>5104010112</v>
      </c>
      <c r="G6413" s="13">
        <v>2000</v>
      </c>
      <c r="I6413" t="s">
        <v>189</v>
      </c>
      <c r="J6413" t="s">
        <v>897</v>
      </c>
      <c r="K6413" t="s">
        <v>490</v>
      </c>
      <c r="L6413">
        <v>3600011040</v>
      </c>
    </row>
    <row r="6414" spans="3:12">
      <c r="C6414">
        <v>2100300025</v>
      </c>
      <c r="D6414">
        <v>6426000</v>
      </c>
      <c r="E6414" t="s">
        <v>188</v>
      </c>
      <c r="F6414">
        <v>5104010112</v>
      </c>
      <c r="G6414" s="13">
        <v>67220</v>
      </c>
      <c r="I6414" t="s">
        <v>189</v>
      </c>
      <c r="J6414" t="s">
        <v>898</v>
      </c>
      <c r="K6414" t="s">
        <v>490</v>
      </c>
      <c r="L6414">
        <v>3600013217</v>
      </c>
    </row>
    <row r="6415" spans="3:12">
      <c r="C6415">
        <v>2100300025</v>
      </c>
      <c r="D6415">
        <v>6426000</v>
      </c>
      <c r="E6415" t="s">
        <v>188</v>
      </c>
      <c r="F6415">
        <v>5104010112</v>
      </c>
      <c r="G6415" s="13">
        <v>2340</v>
      </c>
      <c r="I6415" t="s">
        <v>189</v>
      </c>
      <c r="J6415" t="s">
        <v>872</v>
      </c>
      <c r="K6415" t="s">
        <v>490</v>
      </c>
      <c r="L6415">
        <v>3600016140</v>
      </c>
    </row>
    <row r="6416" spans="3:12">
      <c r="C6416">
        <v>2100300025</v>
      </c>
      <c r="D6416">
        <v>6426000</v>
      </c>
      <c r="E6416" t="s">
        <v>188</v>
      </c>
      <c r="F6416">
        <v>5104010112</v>
      </c>
      <c r="G6416" s="13">
        <v>2900</v>
      </c>
      <c r="I6416" t="s">
        <v>189</v>
      </c>
      <c r="J6416" t="s">
        <v>828</v>
      </c>
      <c r="K6416" t="s">
        <v>490</v>
      </c>
      <c r="L6416">
        <v>3600018442</v>
      </c>
    </row>
    <row r="6417" spans="3:12">
      <c r="C6417">
        <v>2100300025</v>
      </c>
      <c r="D6417">
        <v>6426000</v>
      </c>
      <c r="E6417" t="s">
        <v>188</v>
      </c>
      <c r="F6417">
        <v>5104010112</v>
      </c>
      <c r="G6417" s="13">
        <v>2000</v>
      </c>
      <c r="I6417" t="s">
        <v>189</v>
      </c>
      <c r="J6417" t="s">
        <v>828</v>
      </c>
      <c r="K6417" t="s">
        <v>490</v>
      </c>
      <c r="L6417">
        <v>3600018444</v>
      </c>
    </row>
    <row r="6418" spans="3:12">
      <c r="C6418">
        <v>2100300025</v>
      </c>
      <c r="D6418">
        <v>6426000</v>
      </c>
      <c r="E6418" t="s">
        <v>188</v>
      </c>
      <c r="F6418">
        <v>5104010112</v>
      </c>
      <c r="G6418" s="13">
        <v>20500</v>
      </c>
      <c r="I6418" t="s">
        <v>189</v>
      </c>
      <c r="J6418" t="s">
        <v>801</v>
      </c>
      <c r="K6418" t="s">
        <v>490</v>
      </c>
      <c r="L6418">
        <v>3600020644</v>
      </c>
    </row>
    <row r="6419" spans="3:12">
      <c r="C6419">
        <v>2100300025</v>
      </c>
      <c r="D6419">
        <v>6426000</v>
      </c>
      <c r="E6419" t="s">
        <v>188</v>
      </c>
      <c r="F6419">
        <v>5104010112</v>
      </c>
      <c r="G6419" s="13">
        <v>2500</v>
      </c>
      <c r="I6419" t="s">
        <v>189</v>
      </c>
      <c r="J6419" t="s">
        <v>837</v>
      </c>
      <c r="K6419" t="s">
        <v>490</v>
      </c>
      <c r="L6419">
        <v>3600023513</v>
      </c>
    </row>
    <row r="6420" spans="3:12">
      <c r="C6420">
        <v>2100300025</v>
      </c>
      <c r="D6420">
        <v>6426000</v>
      </c>
      <c r="E6420" t="s">
        <v>188</v>
      </c>
      <c r="F6420">
        <v>5104010112</v>
      </c>
      <c r="G6420" s="13">
        <v>3600</v>
      </c>
      <c r="I6420" t="s">
        <v>189</v>
      </c>
      <c r="J6420" t="s">
        <v>561</v>
      </c>
      <c r="K6420" t="s">
        <v>490</v>
      </c>
      <c r="L6420">
        <v>3600026846</v>
      </c>
    </row>
    <row r="6421" spans="3:12">
      <c r="C6421">
        <v>2100300025</v>
      </c>
      <c r="D6421">
        <v>6426000</v>
      </c>
      <c r="E6421" t="s">
        <v>188</v>
      </c>
      <c r="F6421">
        <v>5104010112</v>
      </c>
      <c r="G6421" s="13">
        <v>7500</v>
      </c>
      <c r="I6421" t="s">
        <v>189</v>
      </c>
      <c r="J6421" t="s">
        <v>947</v>
      </c>
      <c r="K6421" t="s">
        <v>490</v>
      </c>
      <c r="L6421">
        <v>3600028989</v>
      </c>
    </row>
    <row r="6422" spans="3:12">
      <c r="C6422">
        <v>2100300025</v>
      </c>
      <c r="D6422">
        <v>6426000</v>
      </c>
      <c r="E6422" t="s">
        <v>188</v>
      </c>
      <c r="F6422">
        <v>5104010112</v>
      </c>
      <c r="G6422" s="13">
        <v>2500</v>
      </c>
      <c r="I6422" t="s">
        <v>189</v>
      </c>
      <c r="J6422" t="s">
        <v>958</v>
      </c>
      <c r="K6422" t="s">
        <v>490</v>
      </c>
      <c r="L6422">
        <v>3600032093</v>
      </c>
    </row>
    <row r="6423" spans="3:12">
      <c r="C6423">
        <v>2100300025</v>
      </c>
      <c r="D6423">
        <v>6426000</v>
      </c>
      <c r="E6423" t="s">
        <v>188</v>
      </c>
      <c r="F6423">
        <v>5104010112</v>
      </c>
      <c r="G6423" s="13">
        <v>35080</v>
      </c>
      <c r="I6423" t="s">
        <v>189</v>
      </c>
      <c r="J6423" t="s">
        <v>961</v>
      </c>
      <c r="K6423" t="s">
        <v>490</v>
      </c>
      <c r="L6423">
        <v>3600023950</v>
      </c>
    </row>
    <row r="6424" spans="3:12">
      <c r="C6424">
        <v>2100300025</v>
      </c>
      <c r="D6424">
        <v>6426000</v>
      </c>
      <c r="E6424" t="s">
        <v>188</v>
      </c>
      <c r="F6424">
        <v>5104010112</v>
      </c>
      <c r="G6424" s="13">
        <v>1540</v>
      </c>
      <c r="I6424" t="s">
        <v>189</v>
      </c>
      <c r="J6424" t="s">
        <v>873</v>
      </c>
      <c r="K6424" t="s">
        <v>490</v>
      </c>
      <c r="L6424">
        <v>3600032802</v>
      </c>
    </row>
    <row r="6425" spans="3:12">
      <c r="C6425">
        <v>2100300025</v>
      </c>
      <c r="D6425">
        <v>6426000</v>
      </c>
      <c r="E6425" t="s">
        <v>188</v>
      </c>
      <c r="F6425">
        <v>5104010112</v>
      </c>
      <c r="G6425" s="13">
        <v>5000</v>
      </c>
      <c r="I6425" t="s">
        <v>189</v>
      </c>
      <c r="J6425" t="s">
        <v>855</v>
      </c>
      <c r="K6425" t="s">
        <v>490</v>
      </c>
      <c r="L6425">
        <v>3600023955</v>
      </c>
    </row>
    <row r="6426" spans="3:12">
      <c r="C6426">
        <v>2100300025</v>
      </c>
      <c r="D6426">
        <v>6426000</v>
      </c>
      <c r="E6426" t="s">
        <v>188</v>
      </c>
      <c r="F6426">
        <v>5104010112</v>
      </c>
      <c r="G6426" s="13">
        <v>74840</v>
      </c>
      <c r="I6426" t="s">
        <v>189</v>
      </c>
      <c r="J6426" t="s">
        <v>855</v>
      </c>
      <c r="K6426" t="s">
        <v>490</v>
      </c>
      <c r="L6426">
        <v>3600023956</v>
      </c>
    </row>
    <row r="6427" spans="3:12">
      <c r="C6427">
        <v>2100300025</v>
      </c>
      <c r="D6427">
        <v>6426000</v>
      </c>
      <c r="E6427" t="s">
        <v>188</v>
      </c>
      <c r="F6427">
        <v>5104010112</v>
      </c>
      <c r="G6427" s="13">
        <v>2500</v>
      </c>
      <c r="I6427" t="s">
        <v>189</v>
      </c>
      <c r="J6427" t="s">
        <v>858</v>
      </c>
      <c r="K6427" t="s">
        <v>490</v>
      </c>
      <c r="L6427">
        <v>3600037340</v>
      </c>
    </row>
    <row r="6428" spans="3:12">
      <c r="C6428">
        <v>2100300025</v>
      </c>
      <c r="D6428">
        <v>6426000</v>
      </c>
      <c r="E6428" t="s">
        <v>188</v>
      </c>
      <c r="F6428">
        <v>5104010112</v>
      </c>
      <c r="G6428" s="13">
        <v>8000</v>
      </c>
      <c r="I6428" t="s">
        <v>189</v>
      </c>
      <c r="J6428" t="s">
        <v>868</v>
      </c>
      <c r="K6428" t="s">
        <v>490</v>
      </c>
      <c r="L6428">
        <v>3600006026</v>
      </c>
    </row>
    <row r="6429" spans="3:12">
      <c r="C6429">
        <v>2100300025</v>
      </c>
      <c r="D6429">
        <v>6426000</v>
      </c>
      <c r="E6429" t="s">
        <v>188</v>
      </c>
      <c r="F6429">
        <v>5104010112</v>
      </c>
      <c r="G6429" s="13">
        <v>2500</v>
      </c>
      <c r="I6429" t="s">
        <v>189</v>
      </c>
      <c r="J6429" t="s">
        <v>982</v>
      </c>
      <c r="K6429" t="s">
        <v>490</v>
      </c>
      <c r="L6429">
        <v>3600040613</v>
      </c>
    </row>
    <row r="6430" spans="3:12">
      <c r="C6430">
        <v>2100300025</v>
      </c>
      <c r="D6430">
        <v>6426000</v>
      </c>
      <c r="E6430" t="s">
        <v>188</v>
      </c>
      <c r="F6430">
        <v>5104010112</v>
      </c>
      <c r="G6430" s="13">
        <v>78800</v>
      </c>
      <c r="I6430" t="s">
        <v>189</v>
      </c>
      <c r="J6430" t="s">
        <v>982</v>
      </c>
      <c r="K6430" t="s">
        <v>490</v>
      </c>
      <c r="L6430">
        <v>3600040866</v>
      </c>
    </row>
    <row r="6431" spans="3:12">
      <c r="C6431">
        <v>2100300025</v>
      </c>
      <c r="D6431">
        <v>6426000</v>
      </c>
      <c r="E6431" t="s">
        <v>188</v>
      </c>
      <c r="F6431">
        <v>5104010112</v>
      </c>
      <c r="G6431" s="13">
        <v>2500</v>
      </c>
      <c r="I6431" t="s">
        <v>189</v>
      </c>
      <c r="J6431" t="s">
        <v>859</v>
      </c>
      <c r="K6431" t="s">
        <v>490</v>
      </c>
      <c r="L6431">
        <v>3600034516</v>
      </c>
    </row>
    <row r="6432" spans="3:12">
      <c r="C6432">
        <v>2100300025</v>
      </c>
      <c r="D6432">
        <v>6426000</v>
      </c>
      <c r="E6432" t="s">
        <v>188</v>
      </c>
      <c r="F6432">
        <v>5104010112</v>
      </c>
      <c r="G6432" s="13">
        <v>2250</v>
      </c>
      <c r="I6432" t="s">
        <v>189</v>
      </c>
      <c r="J6432" t="s">
        <v>970</v>
      </c>
      <c r="K6432" t="s">
        <v>490</v>
      </c>
      <c r="L6432">
        <v>3600035530</v>
      </c>
    </row>
    <row r="6433" spans="3:12">
      <c r="C6433">
        <v>2100300025</v>
      </c>
      <c r="D6433">
        <v>6426000</v>
      </c>
      <c r="E6433" t="s">
        <v>188</v>
      </c>
      <c r="F6433">
        <v>5104010112</v>
      </c>
      <c r="G6433" s="13">
        <v>2000</v>
      </c>
      <c r="I6433" t="s">
        <v>189</v>
      </c>
      <c r="J6433" t="s">
        <v>971</v>
      </c>
      <c r="K6433" t="s">
        <v>490</v>
      </c>
      <c r="L6433">
        <v>3600034757</v>
      </c>
    </row>
    <row r="6434" spans="3:12">
      <c r="C6434">
        <v>2100300025</v>
      </c>
      <c r="D6434">
        <v>6426000</v>
      </c>
      <c r="E6434" t="s">
        <v>188</v>
      </c>
      <c r="F6434">
        <v>5104010112</v>
      </c>
      <c r="G6434" s="13">
        <v>7500</v>
      </c>
      <c r="I6434" t="s">
        <v>189</v>
      </c>
      <c r="J6434" t="s">
        <v>981</v>
      </c>
      <c r="K6434" t="s">
        <v>490</v>
      </c>
      <c r="L6434">
        <v>3600038336</v>
      </c>
    </row>
    <row r="6435" spans="3:12">
      <c r="C6435">
        <v>2100300025</v>
      </c>
      <c r="D6435">
        <v>6426000</v>
      </c>
      <c r="E6435" t="s">
        <v>188</v>
      </c>
      <c r="F6435">
        <v>5104010112</v>
      </c>
      <c r="G6435" s="13">
        <v>108060</v>
      </c>
      <c r="I6435" t="s">
        <v>189</v>
      </c>
      <c r="J6435" t="s">
        <v>865</v>
      </c>
      <c r="K6435" t="s">
        <v>490</v>
      </c>
      <c r="L6435">
        <v>3600038548</v>
      </c>
    </row>
    <row r="6436" spans="3:12">
      <c r="C6436">
        <v>2100300025</v>
      </c>
      <c r="D6436">
        <v>6426000</v>
      </c>
      <c r="E6436" t="s">
        <v>188</v>
      </c>
      <c r="F6436">
        <v>5104020105</v>
      </c>
      <c r="G6436">
        <v>427</v>
      </c>
      <c r="I6436" t="s">
        <v>189</v>
      </c>
      <c r="J6436" t="s">
        <v>883</v>
      </c>
      <c r="K6436" t="s">
        <v>83</v>
      </c>
      <c r="L6436">
        <v>3600005801</v>
      </c>
    </row>
    <row r="6437" spans="3:12">
      <c r="C6437">
        <v>2100300025</v>
      </c>
      <c r="D6437">
        <v>6426000</v>
      </c>
      <c r="E6437" t="s">
        <v>188</v>
      </c>
      <c r="F6437">
        <v>5104020105</v>
      </c>
      <c r="G6437" s="13">
        <v>1734.47</v>
      </c>
      <c r="I6437" t="s">
        <v>189</v>
      </c>
      <c r="J6437" t="s">
        <v>808</v>
      </c>
      <c r="K6437" t="s">
        <v>83</v>
      </c>
      <c r="L6437">
        <v>3600004588</v>
      </c>
    </row>
    <row r="6438" spans="3:12">
      <c r="C6438">
        <v>2100300025</v>
      </c>
      <c r="D6438">
        <v>6426000</v>
      </c>
      <c r="E6438" t="s">
        <v>188</v>
      </c>
      <c r="F6438">
        <v>5104020105</v>
      </c>
      <c r="G6438">
        <v>319.93</v>
      </c>
      <c r="I6438" t="s">
        <v>189</v>
      </c>
      <c r="J6438" t="s">
        <v>892</v>
      </c>
      <c r="K6438" t="s">
        <v>83</v>
      </c>
      <c r="L6438">
        <v>3600009026</v>
      </c>
    </row>
    <row r="6439" spans="3:12">
      <c r="C6439">
        <v>2100300025</v>
      </c>
      <c r="D6439">
        <v>6426000</v>
      </c>
      <c r="E6439" t="s">
        <v>188</v>
      </c>
      <c r="F6439">
        <v>5104020105</v>
      </c>
      <c r="G6439" s="13">
        <v>1892.9</v>
      </c>
      <c r="I6439" t="s">
        <v>189</v>
      </c>
      <c r="J6439" t="s">
        <v>814</v>
      </c>
      <c r="K6439" t="s">
        <v>83</v>
      </c>
      <c r="L6439">
        <v>3600001911</v>
      </c>
    </row>
    <row r="6440" spans="3:12">
      <c r="C6440">
        <v>2100300025</v>
      </c>
      <c r="D6440">
        <v>6426000</v>
      </c>
      <c r="E6440" t="s">
        <v>188</v>
      </c>
      <c r="F6440">
        <v>5104020105</v>
      </c>
      <c r="G6440" s="13">
        <v>2506.8000000000002</v>
      </c>
      <c r="I6440" t="s">
        <v>189</v>
      </c>
      <c r="J6440" t="s">
        <v>919</v>
      </c>
      <c r="K6440" t="s">
        <v>83</v>
      </c>
      <c r="L6440">
        <v>3600016876</v>
      </c>
    </row>
    <row r="6441" spans="3:12">
      <c r="C6441">
        <v>2100300025</v>
      </c>
      <c r="D6441">
        <v>6426000</v>
      </c>
      <c r="E6441" t="s">
        <v>188</v>
      </c>
      <c r="F6441">
        <v>5104020105</v>
      </c>
      <c r="G6441" s="13">
        <v>1653.15</v>
      </c>
      <c r="I6441" t="s">
        <v>189</v>
      </c>
      <c r="J6441" t="s">
        <v>830</v>
      </c>
      <c r="K6441" t="s">
        <v>83</v>
      </c>
      <c r="L6441">
        <v>3600019043</v>
      </c>
    </row>
    <row r="6442" spans="3:12">
      <c r="C6442">
        <v>2100300025</v>
      </c>
      <c r="D6442">
        <v>6426000</v>
      </c>
      <c r="E6442" t="s">
        <v>188</v>
      </c>
      <c r="F6442">
        <v>5104020105</v>
      </c>
      <c r="G6442">
        <v>427</v>
      </c>
      <c r="I6442" t="s">
        <v>189</v>
      </c>
      <c r="J6442" t="s">
        <v>801</v>
      </c>
      <c r="K6442" t="s">
        <v>83</v>
      </c>
      <c r="L6442">
        <v>3600020645</v>
      </c>
    </row>
    <row r="6443" spans="3:12">
      <c r="C6443">
        <v>2100300025</v>
      </c>
      <c r="D6443">
        <v>6426000</v>
      </c>
      <c r="E6443" t="s">
        <v>188</v>
      </c>
      <c r="F6443">
        <v>5104020105</v>
      </c>
      <c r="G6443" s="13">
        <v>1333.22</v>
      </c>
      <c r="I6443" t="s">
        <v>189</v>
      </c>
      <c r="J6443" t="s">
        <v>841</v>
      </c>
      <c r="K6443" t="s">
        <v>83</v>
      </c>
      <c r="L6443">
        <v>3600027814</v>
      </c>
    </row>
    <row r="6444" spans="3:12">
      <c r="C6444">
        <v>2100300025</v>
      </c>
      <c r="D6444">
        <v>6426000</v>
      </c>
      <c r="E6444" t="s">
        <v>188</v>
      </c>
      <c r="F6444">
        <v>5104020105</v>
      </c>
      <c r="G6444" s="13">
        <v>1653.15</v>
      </c>
      <c r="I6444" t="s">
        <v>189</v>
      </c>
      <c r="J6444" t="s">
        <v>942</v>
      </c>
      <c r="K6444" t="s">
        <v>83</v>
      </c>
      <c r="L6444">
        <v>3600026688</v>
      </c>
    </row>
    <row r="6445" spans="3:12">
      <c r="C6445">
        <v>2100300025</v>
      </c>
      <c r="D6445">
        <v>6426000</v>
      </c>
      <c r="E6445" t="s">
        <v>188</v>
      </c>
      <c r="F6445">
        <v>5104020105</v>
      </c>
      <c r="G6445" s="13">
        <v>1766.5</v>
      </c>
      <c r="I6445" t="s">
        <v>189</v>
      </c>
      <c r="J6445" t="s">
        <v>959</v>
      </c>
      <c r="K6445" t="s">
        <v>83</v>
      </c>
      <c r="L6445">
        <v>3600031960</v>
      </c>
    </row>
    <row r="6446" spans="3:12">
      <c r="C6446">
        <v>2100300025</v>
      </c>
      <c r="D6446">
        <v>6426000</v>
      </c>
      <c r="E6446" t="s">
        <v>188</v>
      </c>
      <c r="F6446">
        <v>5104020105</v>
      </c>
      <c r="G6446">
        <v>426.93</v>
      </c>
      <c r="I6446" t="s">
        <v>189</v>
      </c>
      <c r="J6446" t="s">
        <v>971</v>
      </c>
      <c r="K6446" t="s">
        <v>83</v>
      </c>
      <c r="L6446">
        <v>3600034757</v>
      </c>
    </row>
    <row r="6447" spans="3:12">
      <c r="C6447">
        <v>2100300025</v>
      </c>
      <c r="D6447">
        <v>6426000</v>
      </c>
      <c r="E6447" t="s">
        <v>188</v>
      </c>
      <c r="F6447">
        <v>5104020105</v>
      </c>
      <c r="G6447">
        <v>427</v>
      </c>
      <c r="I6447" t="s">
        <v>189</v>
      </c>
      <c r="J6447" t="s">
        <v>979</v>
      </c>
      <c r="K6447" t="s">
        <v>83</v>
      </c>
      <c r="L6447">
        <v>3600038354</v>
      </c>
    </row>
    <row r="6448" spans="3:12">
      <c r="C6448">
        <v>2100300025</v>
      </c>
      <c r="D6448">
        <v>6426000</v>
      </c>
      <c r="E6448" t="s">
        <v>188</v>
      </c>
      <c r="F6448">
        <v>5104020105</v>
      </c>
      <c r="G6448">
        <v>746.72</v>
      </c>
      <c r="I6448" t="s">
        <v>189</v>
      </c>
      <c r="J6448" t="s">
        <v>843</v>
      </c>
      <c r="K6448" t="s">
        <v>83</v>
      </c>
      <c r="L6448">
        <v>3600027808</v>
      </c>
    </row>
    <row r="6449" spans="3:12">
      <c r="C6449">
        <v>2100300025</v>
      </c>
      <c r="D6449">
        <v>6426000</v>
      </c>
      <c r="E6449" t="s">
        <v>188</v>
      </c>
      <c r="F6449">
        <v>5104020105</v>
      </c>
      <c r="G6449" s="13">
        <v>1611.42</v>
      </c>
      <c r="I6449" t="s">
        <v>189</v>
      </c>
      <c r="J6449" t="s">
        <v>978</v>
      </c>
      <c r="K6449" t="s">
        <v>83</v>
      </c>
      <c r="L6449">
        <v>3600041945</v>
      </c>
    </row>
    <row r="6450" spans="3:12">
      <c r="C6450">
        <v>2100300025</v>
      </c>
      <c r="D6450">
        <v>6426000</v>
      </c>
      <c r="E6450" t="s">
        <v>188</v>
      </c>
      <c r="F6450">
        <v>5104020105</v>
      </c>
      <c r="G6450" s="13">
        <v>1685.25</v>
      </c>
      <c r="I6450" t="s">
        <v>189</v>
      </c>
      <c r="J6450" t="s">
        <v>818</v>
      </c>
      <c r="K6450" t="s">
        <v>83</v>
      </c>
      <c r="L6450">
        <v>3600012083</v>
      </c>
    </row>
    <row r="6451" spans="3:12">
      <c r="C6451">
        <v>2100300025</v>
      </c>
      <c r="D6451">
        <v>6426000</v>
      </c>
      <c r="E6451" t="s">
        <v>188</v>
      </c>
      <c r="F6451">
        <v>5104020105</v>
      </c>
      <c r="G6451">
        <v>427</v>
      </c>
      <c r="I6451" t="s">
        <v>189</v>
      </c>
      <c r="J6451" t="s">
        <v>950</v>
      </c>
      <c r="K6451" t="s">
        <v>83</v>
      </c>
      <c r="L6451">
        <v>3600026891</v>
      </c>
    </row>
    <row r="6452" spans="3:12">
      <c r="C6452">
        <v>2100300025</v>
      </c>
      <c r="D6452">
        <v>6426000</v>
      </c>
      <c r="E6452" t="s">
        <v>188</v>
      </c>
      <c r="F6452">
        <v>5104020105</v>
      </c>
      <c r="G6452">
        <v>319.93</v>
      </c>
      <c r="I6452" t="s">
        <v>189</v>
      </c>
      <c r="J6452" t="s">
        <v>953</v>
      </c>
      <c r="K6452" t="s">
        <v>83</v>
      </c>
      <c r="L6452">
        <v>3600030664</v>
      </c>
    </row>
    <row r="6453" spans="3:12">
      <c r="C6453">
        <v>2100300025</v>
      </c>
      <c r="D6453">
        <v>6426000</v>
      </c>
      <c r="E6453" t="s">
        <v>188</v>
      </c>
      <c r="F6453">
        <v>5104020105</v>
      </c>
      <c r="G6453" s="13">
        <v>1682.04</v>
      </c>
      <c r="I6453" t="s">
        <v>189</v>
      </c>
      <c r="J6453" t="s">
        <v>964</v>
      </c>
      <c r="K6453" t="s">
        <v>83</v>
      </c>
      <c r="L6453">
        <v>3600033430</v>
      </c>
    </row>
    <row r="6454" spans="3:12">
      <c r="C6454">
        <v>2100300025</v>
      </c>
      <c r="D6454">
        <v>6426000</v>
      </c>
      <c r="E6454" t="s">
        <v>188</v>
      </c>
      <c r="F6454">
        <v>5104020105</v>
      </c>
      <c r="G6454" s="13">
        <v>1653.15</v>
      </c>
      <c r="I6454" t="s">
        <v>189</v>
      </c>
      <c r="J6454" t="s">
        <v>974</v>
      </c>
      <c r="K6454" t="s">
        <v>83</v>
      </c>
      <c r="L6454">
        <v>3600037118</v>
      </c>
    </row>
    <row r="6455" spans="3:12">
      <c r="C6455">
        <v>2100300025</v>
      </c>
      <c r="D6455">
        <v>6426000</v>
      </c>
      <c r="E6455" t="s">
        <v>188</v>
      </c>
      <c r="F6455">
        <v>5104030207</v>
      </c>
      <c r="G6455">
        <v>855</v>
      </c>
      <c r="I6455" t="s">
        <v>189</v>
      </c>
      <c r="J6455" t="s">
        <v>877</v>
      </c>
      <c r="K6455" t="s">
        <v>193</v>
      </c>
      <c r="L6455">
        <v>3600000665</v>
      </c>
    </row>
    <row r="6456" spans="3:12">
      <c r="C6456">
        <v>2100300025</v>
      </c>
      <c r="D6456">
        <v>6426000</v>
      </c>
      <c r="E6456" t="s">
        <v>188</v>
      </c>
      <c r="F6456">
        <v>5104030207</v>
      </c>
      <c r="G6456">
        <v>300</v>
      </c>
      <c r="I6456" t="s">
        <v>189</v>
      </c>
      <c r="J6456" t="s">
        <v>878</v>
      </c>
      <c r="K6456" t="s">
        <v>193</v>
      </c>
      <c r="L6456">
        <v>3600002083</v>
      </c>
    </row>
    <row r="6457" spans="3:12">
      <c r="C6457">
        <v>2100300025</v>
      </c>
      <c r="D6457">
        <v>6426000</v>
      </c>
      <c r="E6457" t="s">
        <v>188</v>
      </c>
      <c r="F6457">
        <v>5104030207</v>
      </c>
      <c r="G6457">
        <v>240</v>
      </c>
      <c r="I6457" t="s">
        <v>189</v>
      </c>
      <c r="J6457" t="s">
        <v>881</v>
      </c>
      <c r="K6457" t="s">
        <v>193</v>
      </c>
      <c r="L6457">
        <v>3600000508</v>
      </c>
    </row>
    <row r="6458" spans="3:12">
      <c r="C6458">
        <v>2100300025</v>
      </c>
      <c r="D6458">
        <v>6426000</v>
      </c>
      <c r="E6458" t="s">
        <v>188</v>
      </c>
      <c r="F6458">
        <v>5104030207</v>
      </c>
      <c r="G6458">
        <v>320</v>
      </c>
      <c r="I6458" t="s">
        <v>189</v>
      </c>
      <c r="J6458" t="s">
        <v>875</v>
      </c>
      <c r="K6458" t="s">
        <v>193</v>
      </c>
      <c r="L6458">
        <v>3600000421</v>
      </c>
    </row>
    <row r="6459" spans="3:12">
      <c r="C6459">
        <v>2100300025</v>
      </c>
      <c r="D6459">
        <v>6426000</v>
      </c>
      <c r="E6459" t="s">
        <v>188</v>
      </c>
      <c r="F6459">
        <v>5104030207</v>
      </c>
      <c r="G6459">
        <v>220</v>
      </c>
      <c r="I6459" t="s">
        <v>189</v>
      </c>
      <c r="J6459" t="s">
        <v>883</v>
      </c>
      <c r="K6459" t="s">
        <v>193</v>
      </c>
      <c r="L6459">
        <v>3600005801</v>
      </c>
    </row>
    <row r="6460" spans="3:12">
      <c r="C6460">
        <v>2100300025</v>
      </c>
      <c r="D6460">
        <v>6426000</v>
      </c>
      <c r="E6460" t="s">
        <v>188</v>
      </c>
      <c r="F6460">
        <v>5104030207</v>
      </c>
      <c r="G6460" s="13">
        <v>1600</v>
      </c>
      <c r="I6460" t="s">
        <v>189</v>
      </c>
      <c r="J6460" t="s">
        <v>883</v>
      </c>
      <c r="K6460" t="s">
        <v>193</v>
      </c>
      <c r="L6460">
        <v>3600005478</v>
      </c>
    </row>
    <row r="6461" spans="3:12">
      <c r="C6461">
        <v>2100300025</v>
      </c>
      <c r="D6461">
        <v>6426000</v>
      </c>
      <c r="E6461" t="s">
        <v>188</v>
      </c>
      <c r="F6461">
        <v>5104030207</v>
      </c>
      <c r="G6461">
        <v>810</v>
      </c>
      <c r="I6461" t="s">
        <v>189</v>
      </c>
      <c r="J6461" t="s">
        <v>885</v>
      </c>
      <c r="K6461" t="s">
        <v>193</v>
      </c>
      <c r="L6461">
        <v>3600007154</v>
      </c>
    </row>
    <row r="6462" spans="3:12">
      <c r="C6462">
        <v>2100300025</v>
      </c>
      <c r="D6462">
        <v>6426000</v>
      </c>
      <c r="E6462" t="s">
        <v>188</v>
      </c>
      <c r="F6462">
        <v>5104030207</v>
      </c>
      <c r="G6462">
        <v>495</v>
      </c>
      <c r="I6462" t="s">
        <v>189</v>
      </c>
      <c r="J6462" t="s">
        <v>887</v>
      </c>
      <c r="K6462" t="s">
        <v>193</v>
      </c>
      <c r="L6462">
        <v>3600005828</v>
      </c>
    </row>
    <row r="6463" spans="3:12">
      <c r="C6463">
        <v>2100300025</v>
      </c>
      <c r="D6463">
        <v>6426000</v>
      </c>
      <c r="E6463" t="s">
        <v>188</v>
      </c>
      <c r="F6463">
        <v>5104030207</v>
      </c>
      <c r="G6463" s="13">
        <v>5100</v>
      </c>
      <c r="I6463" t="s">
        <v>189</v>
      </c>
      <c r="J6463" t="s">
        <v>808</v>
      </c>
      <c r="K6463" t="s">
        <v>193</v>
      </c>
      <c r="L6463">
        <v>3600004588</v>
      </c>
    </row>
    <row r="6464" spans="3:12">
      <c r="C6464">
        <v>2100300025</v>
      </c>
      <c r="D6464">
        <v>6426000</v>
      </c>
      <c r="E6464" t="s">
        <v>188</v>
      </c>
      <c r="F6464">
        <v>5104030207</v>
      </c>
      <c r="G6464" s="13">
        <v>3350</v>
      </c>
      <c r="I6464" t="s">
        <v>189</v>
      </c>
      <c r="J6464" t="s">
        <v>889</v>
      </c>
      <c r="K6464" t="s">
        <v>193</v>
      </c>
      <c r="L6464">
        <v>3600006422</v>
      </c>
    </row>
    <row r="6465" spans="3:12">
      <c r="C6465">
        <v>2100300025</v>
      </c>
      <c r="D6465">
        <v>6426000</v>
      </c>
      <c r="E6465" t="s">
        <v>188</v>
      </c>
      <c r="F6465">
        <v>5104030207</v>
      </c>
      <c r="G6465">
        <v>525</v>
      </c>
      <c r="I6465" t="s">
        <v>189</v>
      </c>
      <c r="J6465" t="s">
        <v>891</v>
      </c>
      <c r="K6465" t="s">
        <v>193</v>
      </c>
      <c r="L6465">
        <v>3600005879</v>
      </c>
    </row>
    <row r="6466" spans="3:12">
      <c r="C6466">
        <v>2100300025</v>
      </c>
      <c r="D6466">
        <v>6426000</v>
      </c>
      <c r="E6466" t="s">
        <v>188</v>
      </c>
      <c r="F6466">
        <v>5104030207</v>
      </c>
      <c r="G6466" s="13">
        <v>6475</v>
      </c>
      <c r="I6466" t="s">
        <v>189</v>
      </c>
      <c r="J6466" t="s">
        <v>892</v>
      </c>
      <c r="K6466" t="s">
        <v>193</v>
      </c>
      <c r="L6466">
        <v>3600009026</v>
      </c>
    </row>
    <row r="6467" spans="3:12">
      <c r="C6467">
        <v>2100300025</v>
      </c>
      <c r="D6467">
        <v>6426000</v>
      </c>
      <c r="E6467" t="s">
        <v>188</v>
      </c>
      <c r="F6467">
        <v>5104030207</v>
      </c>
      <c r="G6467">
        <v>585</v>
      </c>
      <c r="I6467" t="s">
        <v>189</v>
      </c>
      <c r="J6467" t="s">
        <v>814</v>
      </c>
      <c r="K6467" t="s">
        <v>193</v>
      </c>
      <c r="L6467">
        <v>3600001911</v>
      </c>
    </row>
    <row r="6468" spans="3:12">
      <c r="C6468">
        <v>2100300025</v>
      </c>
      <c r="D6468">
        <v>6426000</v>
      </c>
      <c r="E6468" t="s">
        <v>188</v>
      </c>
      <c r="F6468">
        <v>5104030207</v>
      </c>
      <c r="G6468">
        <v>495</v>
      </c>
      <c r="I6468" t="s">
        <v>189</v>
      </c>
      <c r="J6468" t="s">
        <v>899</v>
      </c>
      <c r="K6468" t="s">
        <v>193</v>
      </c>
      <c r="L6468">
        <v>3600009324</v>
      </c>
    </row>
    <row r="6469" spans="3:12">
      <c r="C6469">
        <v>2100300025</v>
      </c>
      <c r="D6469">
        <v>6426000</v>
      </c>
      <c r="E6469" t="s">
        <v>188</v>
      </c>
      <c r="F6469">
        <v>5104030207</v>
      </c>
      <c r="G6469" s="13">
        <v>4890</v>
      </c>
      <c r="I6469" t="s">
        <v>189</v>
      </c>
      <c r="J6469" t="s">
        <v>900</v>
      </c>
      <c r="K6469" t="s">
        <v>193</v>
      </c>
      <c r="L6469">
        <v>3600009385</v>
      </c>
    </row>
    <row r="6470" spans="3:12">
      <c r="C6470">
        <v>2100300025</v>
      </c>
      <c r="D6470">
        <v>6426000</v>
      </c>
      <c r="E6470" t="s">
        <v>188</v>
      </c>
      <c r="F6470">
        <v>5104030207</v>
      </c>
      <c r="G6470" s="13">
        <v>9760</v>
      </c>
      <c r="I6470" t="s">
        <v>189</v>
      </c>
      <c r="J6470" t="s">
        <v>902</v>
      </c>
      <c r="K6470" t="s">
        <v>193</v>
      </c>
      <c r="L6470">
        <v>3600014003</v>
      </c>
    </row>
    <row r="6471" spans="3:12">
      <c r="C6471">
        <v>2100300025</v>
      </c>
      <c r="D6471">
        <v>6426000</v>
      </c>
      <c r="E6471" t="s">
        <v>188</v>
      </c>
      <c r="F6471">
        <v>5104030207</v>
      </c>
      <c r="G6471">
        <v>495</v>
      </c>
      <c r="I6471" t="s">
        <v>189</v>
      </c>
      <c r="J6471" t="s">
        <v>904</v>
      </c>
      <c r="K6471" t="s">
        <v>193</v>
      </c>
      <c r="L6471">
        <v>3600014356</v>
      </c>
    </row>
    <row r="6472" spans="3:12">
      <c r="C6472">
        <v>2100300025</v>
      </c>
      <c r="D6472">
        <v>6426000</v>
      </c>
      <c r="E6472" t="s">
        <v>188</v>
      </c>
      <c r="F6472">
        <v>5104030207</v>
      </c>
      <c r="G6472">
        <v>990</v>
      </c>
      <c r="I6472" t="s">
        <v>189</v>
      </c>
      <c r="J6472" t="s">
        <v>906</v>
      </c>
      <c r="K6472" t="s">
        <v>193</v>
      </c>
      <c r="L6472">
        <v>3600014130</v>
      </c>
    </row>
    <row r="6473" spans="3:12">
      <c r="C6473">
        <v>2100300025</v>
      </c>
      <c r="D6473">
        <v>6426000</v>
      </c>
      <c r="E6473" t="s">
        <v>188</v>
      </c>
      <c r="F6473">
        <v>5104030207</v>
      </c>
      <c r="G6473" s="13">
        <v>1520</v>
      </c>
      <c r="I6473" t="s">
        <v>189</v>
      </c>
      <c r="J6473" t="s">
        <v>567</v>
      </c>
      <c r="K6473" t="s">
        <v>193</v>
      </c>
      <c r="L6473">
        <v>3600014076</v>
      </c>
    </row>
    <row r="6474" spans="3:12">
      <c r="C6474">
        <v>2100300025</v>
      </c>
      <c r="D6474">
        <v>6426000</v>
      </c>
      <c r="E6474" t="s">
        <v>188</v>
      </c>
      <c r="F6474">
        <v>5104030207</v>
      </c>
      <c r="G6474" s="13">
        <v>3940</v>
      </c>
      <c r="I6474" t="s">
        <v>189</v>
      </c>
      <c r="J6474" t="s">
        <v>913</v>
      </c>
      <c r="K6474" t="s">
        <v>193</v>
      </c>
      <c r="L6474">
        <v>3600009286</v>
      </c>
    </row>
    <row r="6475" spans="3:12">
      <c r="C6475">
        <v>2100300025</v>
      </c>
      <c r="D6475">
        <v>6426000</v>
      </c>
      <c r="E6475" t="s">
        <v>188</v>
      </c>
      <c r="F6475">
        <v>5104030207</v>
      </c>
      <c r="G6475">
        <v>810</v>
      </c>
      <c r="I6475" t="s">
        <v>189</v>
      </c>
      <c r="J6475" t="s">
        <v>916</v>
      </c>
      <c r="K6475" t="s">
        <v>193</v>
      </c>
      <c r="L6475">
        <v>3600017400</v>
      </c>
    </row>
    <row r="6476" spans="3:12">
      <c r="C6476">
        <v>2100300025</v>
      </c>
      <c r="D6476">
        <v>6426000</v>
      </c>
      <c r="E6476" t="s">
        <v>188</v>
      </c>
      <c r="F6476">
        <v>5104030207</v>
      </c>
      <c r="G6476" s="13">
        <v>1635</v>
      </c>
      <c r="I6476" t="s">
        <v>189</v>
      </c>
      <c r="J6476" t="s">
        <v>915</v>
      </c>
      <c r="K6476" t="s">
        <v>193</v>
      </c>
      <c r="L6476">
        <v>3600018290</v>
      </c>
    </row>
    <row r="6477" spans="3:12">
      <c r="C6477">
        <v>2100300025</v>
      </c>
      <c r="D6477">
        <v>6426000</v>
      </c>
      <c r="E6477" t="s">
        <v>188</v>
      </c>
      <c r="F6477">
        <v>5104030207</v>
      </c>
      <c r="G6477">
        <v>180</v>
      </c>
      <c r="I6477" t="s">
        <v>189</v>
      </c>
      <c r="J6477" t="s">
        <v>918</v>
      </c>
      <c r="K6477" t="s">
        <v>193</v>
      </c>
      <c r="L6477">
        <v>3600019642</v>
      </c>
    </row>
    <row r="6478" spans="3:12">
      <c r="C6478">
        <v>2100300025</v>
      </c>
      <c r="D6478">
        <v>6426000</v>
      </c>
      <c r="E6478" t="s">
        <v>188</v>
      </c>
      <c r="F6478">
        <v>5104030207</v>
      </c>
      <c r="G6478" s="13">
        <v>2225</v>
      </c>
      <c r="I6478" t="s">
        <v>189</v>
      </c>
      <c r="J6478" t="s">
        <v>825</v>
      </c>
      <c r="K6478" t="s">
        <v>193</v>
      </c>
      <c r="L6478">
        <v>3600001033</v>
      </c>
    </row>
    <row r="6479" spans="3:12">
      <c r="C6479">
        <v>2100300025</v>
      </c>
      <c r="D6479">
        <v>6426000</v>
      </c>
      <c r="E6479" t="s">
        <v>188</v>
      </c>
      <c r="F6479">
        <v>5104030207</v>
      </c>
      <c r="G6479" s="13">
        <v>2130</v>
      </c>
      <c r="I6479" t="s">
        <v>189</v>
      </c>
      <c r="J6479" t="s">
        <v>799</v>
      </c>
      <c r="K6479" t="s">
        <v>193</v>
      </c>
      <c r="L6479">
        <v>3600016871</v>
      </c>
    </row>
    <row r="6480" spans="3:12">
      <c r="C6480">
        <v>2100300025</v>
      </c>
      <c r="D6480">
        <v>6426000</v>
      </c>
      <c r="E6480" t="s">
        <v>188</v>
      </c>
      <c r="F6480">
        <v>5104030207</v>
      </c>
      <c r="G6480">
        <v>420</v>
      </c>
      <c r="I6480" t="s">
        <v>189</v>
      </c>
      <c r="J6480" t="s">
        <v>922</v>
      </c>
      <c r="K6480" t="s">
        <v>193</v>
      </c>
      <c r="L6480">
        <v>3600020181</v>
      </c>
    </row>
    <row r="6481" spans="3:12">
      <c r="C6481">
        <v>2100300025</v>
      </c>
      <c r="D6481">
        <v>6426000</v>
      </c>
      <c r="E6481" t="s">
        <v>188</v>
      </c>
      <c r="F6481">
        <v>5104030207</v>
      </c>
      <c r="G6481" s="13">
        <v>1420</v>
      </c>
      <c r="I6481" t="s">
        <v>189</v>
      </c>
      <c r="J6481" t="s">
        <v>829</v>
      </c>
      <c r="K6481" t="s">
        <v>193</v>
      </c>
      <c r="L6481">
        <v>3600022014</v>
      </c>
    </row>
    <row r="6482" spans="3:12">
      <c r="C6482">
        <v>2100300025</v>
      </c>
      <c r="D6482">
        <v>6426000</v>
      </c>
      <c r="E6482" t="s">
        <v>188</v>
      </c>
      <c r="F6482">
        <v>5104030207</v>
      </c>
      <c r="G6482" s="13">
        <v>3575</v>
      </c>
      <c r="I6482" t="s">
        <v>189</v>
      </c>
      <c r="J6482" t="s">
        <v>925</v>
      </c>
      <c r="K6482" t="s">
        <v>193</v>
      </c>
      <c r="L6482">
        <v>3600021140</v>
      </c>
    </row>
    <row r="6483" spans="3:12">
      <c r="C6483">
        <v>2100300025</v>
      </c>
      <c r="D6483">
        <v>6426000</v>
      </c>
      <c r="E6483" t="s">
        <v>188</v>
      </c>
      <c r="F6483">
        <v>5104030207</v>
      </c>
      <c r="G6483" s="13">
        <v>1630</v>
      </c>
      <c r="I6483" t="s">
        <v>189</v>
      </c>
      <c r="J6483" t="s">
        <v>830</v>
      </c>
      <c r="K6483" t="s">
        <v>193</v>
      </c>
      <c r="L6483">
        <v>3600019043</v>
      </c>
    </row>
    <row r="6484" spans="3:12">
      <c r="C6484">
        <v>2100300025</v>
      </c>
      <c r="D6484">
        <v>6426000</v>
      </c>
      <c r="E6484" t="s">
        <v>188</v>
      </c>
      <c r="F6484">
        <v>5104030207</v>
      </c>
      <c r="G6484" s="13">
        <v>5485</v>
      </c>
      <c r="I6484" t="s">
        <v>189</v>
      </c>
      <c r="J6484" t="s">
        <v>801</v>
      </c>
      <c r="K6484" t="s">
        <v>193</v>
      </c>
      <c r="L6484">
        <v>3600020645</v>
      </c>
    </row>
    <row r="6485" spans="3:12">
      <c r="C6485">
        <v>2100300025</v>
      </c>
      <c r="D6485">
        <v>6426000</v>
      </c>
      <c r="E6485" t="s">
        <v>188</v>
      </c>
      <c r="F6485">
        <v>5104030207</v>
      </c>
      <c r="G6485">
        <v>855</v>
      </c>
      <c r="I6485" t="s">
        <v>189</v>
      </c>
      <c r="J6485" t="s">
        <v>926</v>
      </c>
      <c r="K6485" t="s">
        <v>193</v>
      </c>
      <c r="L6485">
        <v>3600022741</v>
      </c>
    </row>
    <row r="6486" spans="3:12">
      <c r="C6486">
        <v>2100300025</v>
      </c>
      <c r="D6486">
        <v>6426000</v>
      </c>
      <c r="E6486" t="s">
        <v>188</v>
      </c>
      <c r="F6486">
        <v>5104030207</v>
      </c>
      <c r="G6486" s="13">
        <v>6270</v>
      </c>
      <c r="I6486" t="s">
        <v>189</v>
      </c>
      <c r="J6486" t="s">
        <v>564</v>
      </c>
      <c r="K6486" t="s">
        <v>193</v>
      </c>
      <c r="L6486">
        <v>3600019866</v>
      </c>
    </row>
    <row r="6487" spans="3:12">
      <c r="C6487">
        <v>2100300025</v>
      </c>
      <c r="D6487">
        <v>6426000</v>
      </c>
      <c r="E6487" t="s">
        <v>188</v>
      </c>
      <c r="F6487">
        <v>5104030207</v>
      </c>
      <c r="G6487">
        <v>380</v>
      </c>
      <c r="I6487" t="s">
        <v>189</v>
      </c>
      <c r="J6487" t="s">
        <v>929</v>
      </c>
      <c r="K6487" t="s">
        <v>193</v>
      </c>
      <c r="L6487">
        <v>3600021926</v>
      </c>
    </row>
    <row r="6488" spans="3:12">
      <c r="C6488">
        <v>2100300025</v>
      </c>
      <c r="D6488">
        <v>6426000</v>
      </c>
      <c r="E6488" t="s">
        <v>188</v>
      </c>
      <c r="F6488">
        <v>5104030207</v>
      </c>
      <c r="G6488" s="13">
        <v>1170</v>
      </c>
      <c r="I6488" t="s">
        <v>189</v>
      </c>
      <c r="J6488" t="s">
        <v>931</v>
      </c>
      <c r="K6488" t="s">
        <v>193</v>
      </c>
      <c r="L6488">
        <v>3600025629</v>
      </c>
    </row>
    <row r="6489" spans="3:12">
      <c r="C6489">
        <v>2100300025</v>
      </c>
      <c r="D6489">
        <v>6426000</v>
      </c>
      <c r="E6489" t="s">
        <v>188</v>
      </c>
      <c r="F6489">
        <v>5104030207</v>
      </c>
      <c r="G6489" s="13">
        <v>4875</v>
      </c>
      <c r="I6489" t="s">
        <v>189</v>
      </c>
      <c r="J6489" t="s">
        <v>935</v>
      </c>
      <c r="K6489" t="s">
        <v>193</v>
      </c>
      <c r="L6489">
        <v>3600026130</v>
      </c>
    </row>
    <row r="6490" spans="3:12">
      <c r="C6490">
        <v>2100300025</v>
      </c>
      <c r="D6490">
        <v>6426000</v>
      </c>
      <c r="E6490" t="s">
        <v>188</v>
      </c>
      <c r="F6490">
        <v>5104030207</v>
      </c>
      <c r="G6490">
        <v>300</v>
      </c>
      <c r="I6490" t="s">
        <v>189</v>
      </c>
      <c r="J6490" t="s">
        <v>837</v>
      </c>
      <c r="K6490" t="s">
        <v>193</v>
      </c>
      <c r="L6490">
        <v>3600020540</v>
      </c>
    </row>
    <row r="6491" spans="3:12">
      <c r="C6491">
        <v>2100300025</v>
      </c>
      <c r="D6491">
        <v>6426000</v>
      </c>
      <c r="E6491" t="s">
        <v>188</v>
      </c>
      <c r="F6491">
        <v>5104030207</v>
      </c>
      <c r="G6491">
        <v>900</v>
      </c>
      <c r="I6491" t="s">
        <v>189</v>
      </c>
      <c r="J6491" t="s">
        <v>941</v>
      </c>
      <c r="K6491" t="s">
        <v>193</v>
      </c>
      <c r="L6491">
        <v>3600024267</v>
      </c>
    </row>
    <row r="6492" spans="3:12">
      <c r="C6492">
        <v>2100300025</v>
      </c>
      <c r="D6492">
        <v>6426000</v>
      </c>
      <c r="E6492" t="s">
        <v>188</v>
      </c>
      <c r="F6492">
        <v>5104030207</v>
      </c>
      <c r="G6492">
        <v>180</v>
      </c>
      <c r="I6492" t="s">
        <v>189</v>
      </c>
      <c r="J6492" t="s">
        <v>843</v>
      </c>
      <c r="K6492" t="s">
        <v>193</v>
      </c>
      <c r="L6492">
        <v>3600027808</v>
      </c>
    </row>
    <row r="6493" spans="3:12">
      <c r="C6493">
        <v>2100300025</v>
      </c>
      <c r="D6493">
        <v>6426000</v>
      </c>
      <c r="E6493" t="s">
        <v>188</v>
      </c>
      <c r="F6493">
        <v>5104030207</v>
      </c>
      <c r="G6493">
        <v>125</v>
      </c>
      <c r="I6493" t="s">
        <v>189</v>
      </c>
      <c r="J6493" t="s">
        <v>561</v>
      </c>
      <c r="K6493" t="s">
        <v>193</v>
      </c>
      <c r="L6493">
        <v>3600023656</v>
      </c>
    </row>
    <row r="6494" spans="3:12">
      <c r="C6494">
        <v>2100300025</v>
      </c>
      <c r="D6494">
        <v>6426000</v>
      </c>
      <c r="E6494" t="s">
        <v>188</v>
      </c>
      <c r="F6494">
        <v>5104030207</v>
      </c>
      <c r="G6494">
        <v>630</v>
      </c>
      <c r="I6494" t="s">
        <v>189</v>
      </c>
      <c r="J6494" t="s">
        <v>947</v>
      </c>
      <c r="K6494" t="s">
        <v>193</v>
      </c>
      <c r="L6494">
        <v>3600029970</v>
      </c>
    </row>
    <row r="6495" spans="3:12">
      <c r="C6495">
        <v>2100300025</v>
      </c>
      <c r="D6495">
        <v>6426000</v>
      </c>
      <c r="E6495" t="s">
        <v>188</v>
      </c>
      <c r="F6495">
        <v>5104030207</v>
      </c>
      <c r="G6495">
        <v>340</v>
      </c>
      <c r="I6495" t="s">
        <v>189</v>
      </c>
      <c r="J6495" t="s">
        <v>950</v>
      </c>
      <c r="K6495" t="s">
        <v>193</v>
      </c>
      <c r="L6495">
        <v>3600026891</v>
      </c>
    </row>
    <row r="6496" spans="3:12">
      <c r="C6496">
        <v>2100300025</v>
      </c>
      <c r="D6496">
        <v>6426000</v>
      </c>
      <c r="E6496" t="s">
        <v>188</v>
      </c>
      <c r="F6496">
        <v>5104030207</v>
      </c>
      <c r="G6496">
        <v>440</v>
      </c>
      <c r="I6496" t="s">
        <v>189</v>
      </c>
      <c r="J6496" t="s">
        <v>846</v>
      </c>
      <c r="K6496" t="s">
        <v>193</v>
      </c>
      <c r="L6496">
        <v>3600031803</v>
      </c>
    </row>
    <row r="6497" spans="3:12">
      <c r="C6497">
        <v>2100300025</v>
      </c>
      <c r="D6497">
        <v>6426000</v>
      </c>
      <c r="E6497" t="s">
        <v>188</v>
      </c>
      <c r="F6497">
        <v>5104030207</v>
      </c>
      <c r="G6497" s="13">
        <v>2440</v>
      </c>
      <c r="I6497" t="s">
        <v>189</v>
      </c>
      <c r="J6497" t="s">
        <v>848</v>
      </c>
      <c r="K6497" t="s">
        <v>193</v>
      </c>
      <c r="L6497">
        <v>3600031630</v>
      </c>
    </row>
    <row r="6498" spans="3:12">
      <c r="C6498">
        <v>2100300025</v>
      </c>
      <c r="D6498">
        <v>6426000</v>
      </c>
      <c r="E6498" t="s">
        <v>188</v>
      </c>
      <c r="F6498">
        <v>5104030207</v>
      </c>
      <c r="G6498" s="13">
        <v>6205</v>
      </c>
      <c r="I6498" t="s">
        <v>189</v>
      </c>
      <c r="J6498" t="s">
        <v>958</v>
      </c>
      <c r="K6498" t="s">
        <v>193</v>
      </c>
      <c r="L6498">
        <v>3600032095</v>
      </c>
    </row>
    <row r="6499" spans="3:12">
      <c r="C6499">
        <v>2100300025</v>
      </c>
      <c r="D6499">
        <v>6426000</v>
      </c>
      <c r="E6499" t="s">
        <v>188</v>
      </c>
      <c r="F6499">
        <v>5104030207</v>
      </c>
      <c r="G6499">
        <v>180</v>
      </c>
      <c r="I6499" t="s">
        <v>189</v>
      </c>
      <c r="J6499" t="s">
        <v>959</v>
      </c>
      <c r="K6499" t="s">
        <v>193</v>
      </c>
      <c r="L6499">
        <v>3600031960</v>
      </c>
    </row>
    <row r="6500" spans="3:12">
      <c r="C6500">
        <v>2100300025</v>
      </c>
      <c r="D6500">
        <v>6426000</v>
      </c>
      <c r="E6500" t="s">
        <v>188</v>
      </c>
      <c r="F6500">
        <v>5104030207</v>
      </c>
      <c r="G6500">
        <v>150</v>
      </c>
      <c r="I6500" t="s">
        <v>189</v>
      </c>
      <c r="J6500" t="s">
        <v>963</v>
      </c>
      <c r="K6500" t="s">
        <v>193</v>
      </c>
      <c r="L6500">
        <v>3600032590</v>
      </c>
    </row>
    <row r="6501" spans="3:12">
      <c r="C6501">
        <v>2100300025</v>
      </c>
      <c r="D6501">
        <v>6426000</v>
      </c>
      <c r="E6501" t="s">
        <v>188</v>
      </c>
      <c r="F6501">
        <v>5104030207</v>
      </c>
      <c r="G6501">
        <v>360</v>
      </c>
      <c r="I6501" t="s">
        <v>189</v>
      </c>
      <c r="J6501" t="s">
        <v>964</v>
      </c>
      <c r="K6501" t="s">
        <v>193</v>
      </c>
      <c r="L6501">
        <v>3600033430</v>
      </c>
    </row>
    <row r="6502" spans="3:12">
      <c r="C6502">
        <v>2100300025</v>
      </c>
      <c r="D6502">
        <v>6426000</v>
      </c>
      <c r="E6502" t="s">
        <v>188</v>
      </c>
      <c r="F6502">
        <v>5104030207</v>
      </c>
      <c r="G6502">
        <v>140</v>
      </c>
      <c r="I6502" t="s">
        <v>189</v>
      </c>
      <c r="J6502" t="s">
        <v>967</v>
      </c>
      <c r="K6502" t="s">
        <v>193</v>
      </c>
      <c r="L6502">
        <v>3600034904</v>
      </c>
    </row>
    <row r="6503" spans="3:12">
      <c r="C6503">
        <v>2100300025</v>
      </c>
      <c r="D6503">
        <v>6426000</v>
      </c>
      <c r="E6503" t="s">
        <v>188</v>
      </c>
      <c r="F6503">
        <v>5104030207</v>
      </c>
      <c r="G6503">
        <v>900</v>
      </c>
      <c r="I6503" t="s">
        <v>189</v>
      </c>
      <c r="J6503" t="s">
        <v>858</v>
      </c>
      <c r="K6503" t="s">
        <v>193</v>
      </c>
      <c r="L6503">
        <v>3600037341</v>
      </c>
    </row>
    <row r="6504" spans="3:12">
      <c r="C6504">
        <v>2100300025</v>
      </c>
      <c r="D6504">
        <v>6426000</v>
      </c>
      <c r="E6504" t="s">
        <v>188</v>
      </c>
      <c r="F6504">
        <v>5104030207</v>
      </c>
      <c r="G6504" s="13">
        <v>3450</v>
      </c>
      <c r="I6504" t="s">
        <v>189</v>
      </c>
      <c r="J6504" t="s">
        <v>859</v>
      </c>
      <c r="K6504" t="s">
        <v>193</v>
      </c>
      <c r="L6504">
        <v>3600023967</v>
      </c>
    </row>
    <row r="6505" spans="3:12">
      <c r="C6505">
        <v>2100300025</v>
      </c>
      <c r="D6505">
        <v>6426000</v>
      </c>
      <c r="E6505" t="s">
        <v>188</v>
      </c>
      <c r="F6505">
        <v>5104030207</v>
      </c>
      <c r="G6505" s="13">
        <v>1520</v>
      </c>
      <c r="I6505" t="s">
        <v>189</v>
      </c>
      <c r="J6505" t="s">
        <v>977</v>
      </c>
      <c r="K6505" t="s">
        <v>193</v>
      </c>
      <c r="L6505">
        <v>3600036625</v>
      </c>
    </row>
    <row r="6506" spans="3:12">
      <c r="C6506">
        <v>2100300025</v>
      </c>
      <c r="D6506">
        <v>6426000</v>
      </c>
      <c r="E6506" t="s">
        <v>188</v>
      </c>
      <c r="F6506">
        <v>5104030207</v>
      </c>
      <c r="G6506" s="13">
        <v>1620</v>
      </c>
      <c r="I6506" t="s">
        <v>189</v>
      </c>
      <c r="J6506" t="s">
        <v>868</v>
      </c>
      <c r="K6506" t="s">
        <v>193</v>
      </c>
      <c r="L6506">
        <v>3600037820</v>
      </c>
    </row>
    <row r="6507" spans="3:12">
      <c r="C6507">
        <v>2100300025</v>
      </c>
      <c r="D6507">
        <v>6426000</v>
      </c>
      <c r="E6507" t="s">
        <v>188</v>
      </c>
      <c r="F6507">
        <v>5104030207</v>
      </c>
      <c r="G6507" s="13">
        <v>1305</v>
      </c>
      <c r="I6507" t="s">
        <v>189</v>
      </c>
      <c r="J6507" t="s">
        <v>866</v>
      </c>
      <c r="K6507" t="s">
        <v>193</v>
      </c>
      <c r="L6507">
        <v>3600020790</v>
      </c>
    </row>
    <row r="6508" spans="3:12">
      <c r="C6508">
        <v>2100300025</v>
      </c>
      <c r="D6508">
        <v>6426000</v>
      </c>
      <c r="E6508" t="s">
        <v>188</v>
      </c>
      <c r="F6508">
        <v>5104030207</v>
      </c>
      <c r="G6508" s="13">
        <v>1235</v>
      </c>
      <c r="I6508" t="s">
        <v>189</v>
      </c>
      <c r="J6508" t="s">
        <v>866</v>
      </c>
      <c r="K6508" t="s">
        <v>193</v>
      </c>
      <c r="L6508">
        <v>3600041254</v>
      </c>
    </row>
    <row r="6509" spans="3:12">
      <c r="C6509">
        <v>2100300025</v>
      </c>
      <c r="D6509">
        <v>6426000</v>
      </c>
      <c r="E6509" t="s">
        <v>188</v>
      </c>
      <c r="F6509">
        <v>5104030207</v>
      </c>
      <c r="G6509" s="13">
        <v>1825</v>
      </c>
      <c r="I6509" t="s">
        <v>189</v>
      </c>
      <c r="J6509" t="s">
        <v>985</v>
      </c>
      <c r="K6509" t="s">
        <v>193</v>
      </c>
      <c r="L6509">
        <v>3600041033</v>
      </c>
    </row>
    <row r="6510" spans="3:12">
      <c r="C6510">
        <v>2100300025</v>
      </c>
      <c r="D6510">
        <v>6426000</v>
      </c>
      <c r="E6510" t="s">
        <v>188</v>
      </c>
      <c r="F6510">
        <v>5104030207</v>
      </c>
      <c r="G6510">
        <v>340</v>
      </c>
      <c r="I6510" t="s">
        <v>189</v>
      </c>
      <c r="J6510" t="s">
        <v>986</v>
      </c>
      <c r="K6510" t="s">
        <v>193</v>
      </c>
      <c r="L6510">
        <v>3600042025</v>
      </c>
    </row>
    <row r="6511" spans="3:12">
      <c r="C6511">
        <v>2100300025</v>
      </c>
      <c r="D6511">
        <v>6426000</v>
      </c>
      <c r="E6511" t="s">
        <v>188</v>
      </c>
      <c r="F6511">
        <v>5104030207</v>
      </c>
      <c r="G6511">
        <v>480</v>
      </c>
      <c r="I6511" t="s">
        <v>189</v>
      </c>
      <c r="J6511" t="s">
        <v>988</v>
      </c>
      <c r="K6511" t="s">
        <v>193</v>
      </c>
      <c r="L6511">
        <v>3600042535</v>
      </c>
    </row>
    <row r="6512" spans="3:12">
      <c r="C6512">
        <v>2100300025</v>
      </c>
      <c r="D6512">
        <v>6426000</v>
      </c>
      <c r="E6512" t="s">
        <v>188</v>
      </c>
      <c r="F6512">
        <v>5104030219</v>
      </c>
      <c r="G6512" s="13">
        <v>2000</v>
      </c>
      <c r="I6512" t="s">
        <v>189</v>
      </c>
      <c r="J6512" t="s">
        <v>948</v>
      </c>
      <c r="K6512" t="s">
        <v>91</v>
      </c>
      <c r="L6512">
        <v>3600029019</v>
      </c>
    </row>
    <row r="6513" spans="3:12">
      <c r="C6513">
        <v>2100300025</v>
      </c>
      <c r="D6513">
        <v>6426000</v>
      </c>
      <c r="E6513" t="s">
        <v>188</v>
      </c>
      <c r="F6513">
        <v>5104030219</v>
      </c>
      <c r="G6513" s="13">
        <v>2000</v>
      </c>
      <c r="I6513" t="s">
        <v>189</v>
      </c>
      <c r="J6513" t="s">
        <v>848</v>
      </c>
      <c r="K6513" t="s">
        <v>91</v>
      </c>
      <c r="L6513">
        <v>3600031631</v>
      </c>
    </row>
    <row r="6514" spans="3:12">
      <c r="C6514">
        <v>2100300025</v>
      </c>
      <c r="D6514">
        <v>6426000</v>
      </c>
      <c r="E6514" t="s">
        <v>188</v>
      </c>
      <c r="F6514">
        <v>5104030219</v>
      </c>
      <c r="G6514" s="13">
        <v>2000</v>
      </c>
      <c r="I6514" t="s">
        <v>189</v>
      </c>
      <c r="J6514" t="s">
        <v>965</v>
      </c>
      <c r="K6514" t="s">
        <v>91</v>
      </c>
      <c r="L6514">
        <v>3600033808</v>
      </c>
    </row>
    <row r="6515" spans="3:12">
      <c r="C6515">
        <v>2100300025</v>
      </c>
      <c r="D6515">
        <v>6426000</v>
      </c>
      <c r="E6515" t="s">
        <v>188</v>
      </c>
      <c r="F6515">
        <v>5104030219</v>
      </c>
      <c r="G6515" s="13">
        <v>2000</v>
      </c>
      <c r="I6515" t="s">
        <v>189</v>
      </c>
      <c r="J6515" t="s">
        <v>984</v>
      </c>
      <c r="K6515" t="s">
        <v>91</v>
      </c>
      <c r="L6515">
        <v>3600040668</v>
      </c>
    </row>
    <row r="6516" spans="3:12">
      <c r="C6516">
        <v>2100300025</v>
      </c>
      <c r="D6516">
        <v>6426000</v>
      </c>
      <c r="E6516" t="s">
        <v>188</v>
      </c>
      <c r="F6516">
        <v>5104030299</v>
      </c>
      <c r="G6516" s="13">
        <v>8000</v>
      </c>
      <c r="I6516" t="s">
        <v>189</v>
      </c>
      <c r="J6516" t="s">
        <v>875</v>
      </c>
      <c r="K6516" t="s">
        <v>93</v>
      </c>
      <c r="L6516">
        <v>3600000421</v>
      </c>
    </row>
    <row r="6517" spans="3:12">
      <c r="C6517">
        <v>2100300025</v>
      </c>
      <c r="D6517">
        <v>6426000</v>
      </c>
      <c r="E6517" t="s">
        <v>188</v>
      </c>
      <c r="F6517">
        <v>5104030299</v>
      </c>
      <c r="G6517" s="13">
        <v>2000</v>
      </c>
      <c r="I6517" t="s">
        <v>189</v>
      </c>
      <c r="J6517" t="s">
        <v>871</v>
      </c>
      <c r="K6517" t="s">
        <v>93</v>
      </c>
      <c r="L6517">
        <v>3600013182</v>
      </c>
    </row>
    <row r="6518" spans="3:12">
      <c r="C6518">
        <v>2100300025</v>
      </c>
      <c r="D6518">
        <v>6426000</v>
      </c>
      <c r="E6518" t="s">
        <v>188</v>
      </c>
      <c r="F6518">
        <v>5104030299</v>
      </c>
      <c r="G6518" s="13">
        <v>156648</v>
      </c>
      <c r="I6518" t="s">
        <v>189</v>
      </c>
      <c r="J6518" t="s">
        <v>916</v>
      </c>
      <c r="K6518" t="s">
        <v>93</v>
      </c>
      <c r="L6518">
        <v>3600017400</v>
      </c>
    </row>
    <row r="6519" spans="3:12">
      <c r="C6519">
        <v>2100300025</v>
      </c>
      <c r="D6519">
        <v>6426000</v>
      </c>
      <c r="E6519" t="s">
        <v>188</v>
      </c>
      <c r="F6519">
        <v>5104030299</v>
      </c>
      <c r="G6519">
        <v>235</v>
      </c>
      <c r="I6519" t="s">
        <v>189</v>
      </c>
      <c r="J6519" t="s">
        <v>799</v>
      </c>
      <c r="K6519" t="s">
        <v>93</v>
      </c>
      <c r="L6519">
        <v>3600016871</v>
      </c>
    </row>
    <row r="6520" spans="3:12">
      <c r="C6520">
        <v>2100300025</v>
      </c>
      <c r="D6520">
        <v>6426000</v>
      </c>
      <c r="E6520" t="s">
        <v>188</v>
      </c>
      <c r="F6520">
        <v>5104030299</v>
      </c>
      <c r="G6520">
        <v>720</v>
      </c>
      <c r="I6520" t="s">
        <v>189</v>
      </c>
      <c r="J6520" t="s">
        <v>848</v>
      </c>
      <c r="K6520" t="s">
        <v>93</v>
      </c>
      <c r="L6520">
        <v>3600031630</v>
      </c>
    </row>
    <row r="6521" spans="3:12">
      <c r="C6521">
        <v>2100300025</v>
      </c>
      <c r="D6521">
        <v>6426000</v>
      </c>
      <c r="E6521" t="s">
        <v>188</v>
      </c>
      <c r="F6521">
        <v>5104030299</v>
      </c>
      <c r="G6521">
        <v>321</v>
      </c>
      <c r="I6521" t="s">
        <v>189</v>
      </c>
      <c r="J6521" t="s">
        <v>855</v>
      </c>
      <c r="K6521" t="s">
        <v>93</v>
      </c>
      <c r="L6521">
        <v>3600032151</v>
      </c>
    </row>
    <row r="6522" spans="3:12">
      <c r="C6522">
        <v>2100300025</v>
      </c>
      <c r="D6522">
        <v>6426000</v>
      </c>
      <c r="E6522" t="s">
        <v>188</v>
      </c>
      <c r="F6522">
        <v>5104030299</v>
      </c>
      <c r="G6522">
        <v>130</v>
      </c>
      <c r="I6522" t="s">
        <v>189</v>
      </c>
      <c r="J6522" t="s">
        <v>965</v>
      </c>
      <c r="K6522" t="s">
        <v>93</v>
      </c>
      <c r="L6522">
        <v>3600033807</v>
      </c>
    </row>
    <row r="6523" spans="3:12">
      <c r="C6523">
        <v>2100300025</v>
      </c>
      <c r="D6523">
        <v>6426000</v>
      </c>
      <c r="E6523" t="s">
        <v>188</v>
      </c>
      <c r="F6523">
        <v>5104030299</v>
      </c>
      <c r="G6523">
        <v>160</v>
      </c>
      <c r="I6523" t="s">
        <v>189</v>
      </c>
      <c r="J6523" t="s">
        <v>970</v>
      </c>
      <c r="K6523" t="s">
        <v>93</v>
      </c>
      <c r="L6523">
        <v>3600032636</v>
      </c>
    </row>
    <row r="6524" spans="3:12">
      <c r="C6524">
        <v>2100300025</v>
      </c>
      <c r="D6524">
        <v>6426000</v>
      </c>
      <c r="E6524" t="s">
        <v>188</v>
      </c>
      <c r="F6524">
        <v>5104030299</v>
      </c>
      <c r="G6524" s="13">
        <v>2000</v>
      </c>
      <c r="I6524" t="s">
        <v>189</v>
      </c>
      <c r="J6524" t="s">
        <v>859</v>
      </c>
      <c r="K6524" t="s">
        <v>93</v>
      </c>
      <c r="L6524">
        <v>3600034516</v>
      </c>
    </row>
    <row r="6525" spans="3:12">
      <c r="C6525">
        <v>2100300025</v>
      </c>
      <c r="D6525">
        <v>6426000</v>
      </c>
      <c r="E6525" t="s">
        <v>188</v>
      </c>
      <c r="F6525">
        <v>5104030299</v>
      </c>
      <c r="G6525" s="13">
        <v>12000</v>
      </c>
      <c r="I6525" t="s">
        <v>189</v>
      </c>
      <c r="J6525" t="s">
        <v>977</v>
      </c>
      <c r="K6525" t="s">
        <v>93</v>
      </c>
      <c r="L6525">
        <v>3600036625</v>
      </c>
    </row>
    <row r="6526" spans="3:12">
      <c r="C6526">
        <v>2100300025</v>
      </c>
      <c r="D6526">
        <v>6426000</v>
      </c>
      <c r="E6526" t="s">
        <v>188</v>
      </c>
      <c r="F6526">
        <v>5104030299</v>
      </c>
      <c r="G6526">
        <v>800</v>
      </c>
      <c r="I6526" t="s">
        <v>189</v>
      </c>
      <c r="J6526" t="s">
        <v>591</v>
      </c>
      <c r="K6526" t="s">
        <v>93</v>
      </c>
      <c r="L6526">
        <v>3600042556</v>
      </c>
    </row>
    <row r="6527" spans="3:12">
      <c r="C6527">
        <v>2100300025</v>
      </c>
      <c r="D6527">
        <v>6426000</v>
      </c>
      <c r="E6527" t="s">
        <v>188</v>
      </c>
      <c r="F6527">
        <v>5104030299</v>
      </c>
      <c r="G6527" s="13">
        <v>2000</v>
      </c>
      <c r="I6527" t="s">
        <v>189</v>
      </c>
      <c r="J6527" t="s">
        <v>870</v>
      </c>
      <c r="K6527" t="s">
        <v>93</v>
      </c>
      <c r="L6527">
        <v>3600042184</v>
      </c>
    </row>
    <row r="6528" spans="3:12">
      <c r="C6528">
        <v>2100300025</v>
      </c>
      <c r="D6528">
        <v>6426000</v>
      </c>
      <c r="E6528" t="s">
        <v>188</v>
      </c>
      <c r="F6528">
        <v>5104040102</v>
      </c>
      <c r="G6528" s="13">
        <v>33600</v>
      </c>
      <c r="I6528" t="s">
        <v>189</v>
      </c>
      <c r="J6528" t="s">
        <v>877</v>
      </c>
      <c r="K6528" t="s">
        <v>159</v>
      </c>
      <c r="L6528">
        <v>3600000665</v>
      </c>
    </row>
    <row r="6529" spans="3:12">
      <c r="C6529">
        <v>2100300025</v>
      </c>
      <c r="D6529">
        <v>6426000</v>
      </c>
      <c r="E6529" t="s">
        <v>188</v>
      </c>
      <c r="F6529">
        <v>5104040102</v>
      </c>
      <c r="G6529" s="13">
        <v>5000</v>
      </c>
      <c r="I6529" t="s">
        <v>189</v>
      </c>
      <c r="J6529" t="s">
        <v>878</v>
      </c>
      <c r="K6529" t="s">
        <v>159</v>
      </c>
      <c r="L6529">
        <v>3600002083</v>
      </c>
    </row>
    <row r="6530" spans="3:12">
      <c r="C6530">
        <v>2100300025</v>
      </c>
      <c r="D6530">
        <v>6426000</v>
      </c>
      <c r="E6530" t="s">
        <v>188</v>
      </c>
      <c r="F6530">
        <v>5104040102</v>
      </c>
      <c r="G6530" s="13">
        <v>24000</v>
      </c>
      <c r="I6530" t="s">
        <v>189</v>
      </c>
      <c r="J6530" t="s">
        <v>810</v>
      </c>
      <c r="K6530" t="s">
        <v>159</v>
      </c>
      <c r="L6530">
        <v>3600005627</v>
      </c>
    </row>
    <row r="6531" spans="3:12">
      <c r="C6531">
        <v>2100300025</v>
      </c>
      <c r="D6531">
        <v>6426000</v>
      </c>
      <c r="E6531" t="s">
        <v>188</v>
      </c>
      <c r="F6531">
        <v>5104040102</v>
      </c>
      <c r="G6531" s="13">
        <v>20000</v>
      </c>
      <c r="I6531" t="s">
        <v>189</v>
      </c>
      <c r="J6531" t="s">
        <v>883</v>
      </c>
      <c r="K6531" t="s">
        <v>159</v>
      </c>
      <c r="L6531">
        <v>3600005478</v>
      </c>
    </row>
    <row r="6532" spans="3:12">
      <c r="C6532">
        <v>2100300025</v>
      </c>
      <c r="D6532">
        <v>6426000</v>
      </c>
      <c r="E6532" t="s">
        <v>188</v>
      </c>
      <c r="F6532">
        <v>5104040102</v>
      </c>
      <c r="G6532" s="13">
        <v>10200</v>
      </c>
      <c r="I6532" t="s">
        <v>189</v>
      </c>
      <c r="J6532" t="s">
        <v>808</v>
      </c>
      <c r="K6532" t="s">
        <v>159</v>
      </c>
      <c r="L6532">
        <v>3600004588</v>
      </c>
    </row>
    <row r="6533" spans="3:12">
      <c r="C6533">
        <v>2100300025</v>
      </c>
      <c r="D6533">
        <v>6426000</v>
      </c>
      <c r="E6533" t="s">
        <v>188</v>
      </c>
      <c r="F6533">
        <v>5104040102</v>
      </c>
      <c r="G6533" s="13">
        <v>12600</v>
      </c>
      <c r="I6533" t="s">
        <v>189</v>
      </c>
      <c r="J6533" t="s">
        <v>892</v>
      </c>
      <c r="K6533" t="s">
        <v>159</v>
      </c>
      <c r="L6533">
        <v>3600009026</v>
      </c>
    </row>
    <row r="6534" spans="3:12">
      <c r="C6534">
        <v>2100300025</v>
      </c>
      <c r="D6534">
        <v>6426000</v>
      </c>
      <c r="E6534" t="s">
        <v>188</v>
      </c>
      <c r="F6534">
        <v>5104040102</v>
      </c>
      <c r="G6534" s="13">
        <v>41620</v>
      </c>
      <c r="I6534" t="s">
        <v>189</v>
      </c>
      <c r="J6534" t="s">
        <v>897</v>
      </c>
      <c r="K6534" t="s">
        <v>159</v>
      </c>
      <c r="L6534">
        <v>3600009400</v>
      </c>
    </row>
    <row r="6535" spans="3:12">
      <c r="C6535">
        <v>2100300025</v>
      </c>
      <c r="D6535">
        <v>6426000</v>
      </c>
      <c r="E6535" t="s">
        <v>188</v>
      </c>
      <c r="F6535">
        <v>5104040102</v>
      </c>
      <c r="G6535" s="13">
        <v>4100</v>
      </c>
      <c r="I6535" t="s">
        <v>189</v>
      </c>
      <c r="J6535" t="s">
        <v>897</v>
      </c>
      <c r="K6535" t="s">
        <v>159</v>
      </c>
      <c r="L6535">
        <v>3600000845</v>
      </c>
    </row>
    <row r="6536" spans="3:12">
      <c r="C6536">
        <v>2100300025</v>
      </c>
      <c r="D6536">
        <v>6426000</v>
      </c>
      <c r="E6536" t="s">
        <v>188</v>
      </c>
      <c r="F6536">
        <v>5104040102</v>
      </c>
      <c r="G6536" s="13">
        <v>25000</v>
      </c>
      <c r="I6536" t="s">
        <v>189</v>
      </c>
      <c r="J6536" t="s">
        <v>814</v>
      </c>
      <c r="K6536" t="s">
        <v>159</v>
      </c>
      <c r="L6536">
        <v>3600001911</v>
      </c>
    </row>
    <row r="6537" spans="3:12">
      <c r="C6537">
        <v>2100300025</v>
      </c>
      <c r="D6537">
        <v>6426000</v>
      </c>
      <c r="E6537" t="s">
        <v>188</v>
      </c>
      <c r="F6537">
        <v>5104040102</v>
      </c>
      <c r="G6537" s="13">
        <v>6300</v>
      </c>
      <c r="I6537" t="s">
        <v>189</v>
      </c>
      <c r="J6537" t="s">
        <v>899</v>
      </c>
      <c r="K6537" t="s">
        <v>159</v>
      </c>
      <c r="L6537">
        <v>3600009324</v>
      </c>
    </row>
    <row r="6538" spans="3:12">
      <c r="C6538">
        <v>2100300025</v>
      </c>
      <c r="D6538">
        <v>6426000</v>
      </c>
      <c r="E6538" t="s">
        <v>188</v>
      </c>
      <c r="F6538">
        <v>5104040102</v>
      </c>
      <c r="G6538" s="13">
        <v>3900</v>
      </c>
      <c r="I6538" t="s">
        <v>189</v>
      </c>
      <c r="J6538" t="s">
        <v>901</v>
      </c>
      <c r="K6538" t="s">
        <v>159</v>
      </c>
      <c r="L6538">
        <v>3600010855</v>
      </c>
    </row>
    <row r="6539" spans="3:12">
      <c r="C6539">
        <v>2100300025</v>
      </c>
      <c r="D6539">
        <v>6426000</v>
      </c>
      <c r="E6539" t="s">
        <v>188</v>
      </c>
      <c r="F6539">
        <v>5104040102</v>
      </c>
      <c r="G6539" s="13">
        <v>20000</v>
      </c>
      <c r="I6539" t="s">
        <v>189</v>
      </c>
      <c r="J6539" t="s">
        <v>904</v>
      </c>
      <c r="K6539" t="s">
        <v>159</v>
      </c>
      <c r="L6539">
        <v>3600014356</v>
      </c>
    </row>
    <row r="6540" spans="3:12">
      <c r="C6540">
        <v>2100300025</v>
      </c>
      <c r="D6540">
        <v>6426000</v>
      </c>
      <c r="E6540" t="s">
        <v>188</v>
      </c>
      <c r="F6540">
        <v>5104040102</v>
      </c>
      <c r="G6540" s="13">
        <v>6300</v>
      </c>
      <c r="I6540" t="s">
        <v>189</v>
      </c>
      <c r="J6540" t="s">
        <v>906</v>
      </c>
      <c r="K6540" t="s">
        <v>159</v>
      </c>
      <c r="L6540">
        <v>3600014130</v>
      </c>
    </row>
    <row r="6541" spans="3:12">
      <c r="C6541">
        <v>2100300025</v>
      </c>
      <c r="D6541">
        <v>6426000</v>
      </c>
      <c r="E6541" t="s">
        <v>188</v>
      </c>
      <c r="F6541">
        <v>5104040102</v>
      </c>
      <c r="G6541" s="13">
        <v>92880</v>
      </c>
      <c r="I6541" t="s">
        <v>189</v>
      </c>
      <c r="J6541" t="s">
        <v>907</v>
      </c>
      <c r="K6541" t="s">
        <v>159</v>
      </c>
      <c r="L6541">
        <v>3600014980</v>
      </c>
    </row>
    <row r="6542" spans="3:12">
      <c r="C6542">
        <v>2100300025</v>
      </c>
      <c r="D6542">
        <v>6426000</v>
      </c>
      <c r="E6542" t="s">
        <v>188</v>
      </c>
      <c r="F6542">
        <v>5104040102</v>
      </c>
      <c r="G6542" s="13">
        <v>4800</v>
      </c>
      <c r="I6542" t="s">
        <v>189</v>
      </c>
      <c r="J6542" t="s">
        <v>911</v>
      </c>
      <c r="K6542" t="s">
        <v>159</v>
      </c>
      <c r="L6542">
        <v>3600001015</v>
      </c>
    </row>
    <row r="6543" spans="3:12">
      <c r="C6543">
        <v>2100300025</v>
      </c>
      <c r="D6543">
        <v>6426000</v>
      </c>
      <c r="E6543" t="s">
        <v>188</v>
      </c>
      <c r="F6543">
        <v>5104040102</v>
      </c>
      <c r="G6543" s="13">
        <v>8700</v>
      </c>
      <c r="I6543" t="s">
        <v>189</v>
      </c>
      <c r="J6543" t="s">
        <v>913</v>
      </c>
      <c r="K6543" t="s">
        <v>159</v>
      </c>
      <c r="L6543">
        <v>3600009286</v>
      </c>
    </row>
    <row r="6544" spans="3:12">
      <c r="C6544">
        <v>2100300025</v>
      </c>
      <c r="D6544">
        <v>6426000</v>
      </c>
      <c r="E6544" t="s">
        <v>188</v>
      </c>
      <c r="F6544">
        <v>5104040102</v>
      </c>
      <c r="G6544" s="13">
        <v>16800</v>
      </c>
      <c r="I6544" t="s">
        <v>189</v>
      </c>
      <c r="J6544" t="s">
        <v>914</v>
      </c>
      <c r="K6544" t="s">
        <v>159</v>
      </c>
      <c r="L6544">
        <v>3600017100</v>
      </c>
    </row>
    <row r="6545" spans="3:12">
      <c r="C6545">
        <v>2100300025</v>
      </c>
      <c r="D6545">
        <v>6426000</v>
      </c>
      <c r="E6545" t="s">
        <v>188</v>
      </c>
      <c r="F6545">
        <v>5104040102</v>
      </c>
      <c r="G6545" s="13">
        <v>82560</v>
      </c>
      <c r="I6545" t="s">
        <v>189</v>
      </c>
      <c r="J6545" t="s">
        <v>915</v>
      </c>
      <c r="K6545" t="s">
        <v>159</v>
      </c>
      <c r="L6545">
        <v>3600018615</v>
      </c>
    </row>
    <row r="6546" spans="3:12">
      <c r="C6546">
        <v>2100300025</v>
      </c>
      <c r="D6546">
        <v>6426000</v>
      </c>
      <c r="E6546" t="s">
        <v>188</v>
      </c>
      <c r="F6546">
        <v>5104040102</v>
      </c>
      <c r="G6546" s="13">
        <v>5000</v>
      </c>
      <c r="I6546" t="s">
        <v>189</v>
      </c>
      <c r="J6546" t="s">
        <v>823</v>
      </c>
      <c r="K6546" t="s">
        <v>159</v>
      </c>
      <c r="L6546">
        <v>3600017539</v>
      </c>
    </row>
    <row r="6547" spans="3:12">
      <c r="C6547">
        <v>2100300025</v>
      </c>
      <c r="D6547">
        <v>6426000</v>
      </c>
      <c r="E6547" t="s">
        <v>188</v>
      </c>
      <c r="F6547">
        <v>5104040102</v>
      </c>
      <c r="G6547" s="13">
        <v>15000</v>
      </c>
      <c r="I6547" t="s">
        <v>189</v>
      </c>
      <c r="J6547" t="s">
        <v>799</v>
      </c>
      <c r="K6547" t="s">
        <v>159</v>
      </c>
      <c r="L6547">
        <v>3600016871</v>
      </c>
    </row>
    <row r="6548" spans="3:12">
      <c r="C6548">
        <v>2100300025</v>
      </c>
      <c r="D6548">
        <v>6426000</v>
      </c>
      <c r="E6548" t="s">
        <v>188</v>
      </c>
      <c r="F6548">
        <v>5104040102</v>
      </c>
      <c r="G6548" s="13">
        <v>25000</v>
      </c>
      <c r="I6548" t="s">
        <v>189</v>
      </c>
      <c r="J6548" t="s">
        <v>828</v>
      </c>
      <c r="K6548" t="s">
        <v>159</v>
      </c>
      <c r="L6548">
        <v>3600018444</v>
      </c>
    </row>
    <row r="6549" spans="3:12">
      <c r="C6549">
        <v>2100300025</v>
      </c>
      <c r="D6549">
        <v>6426000</v>
      </c>
      <c r="E6549" t="s">
        <v>188</v>
      </c>
      <c r="F6549">
        <v>5104040102</v>
      </c>
      <c r="G6549" s="13">
        <v>79200</v>
      </c>
      <c r="I6549" t="s">
        <v>189</v>
      </c>
      <c r="J6549" t="s">
        <v>922</v>
      </c>
      <c r="K6549" t="s">
        <v>159</v>
      </c>
      <c r="L6549">
        <v>3600020333</v>
      </c>
    </row>
    <row r="6550" spans="3:12">
      <c r="C6550">
        <v>2100300025</v>
      </c>
      <c r="D6550">
        <v>6426000</v>
      </c>
      <c r="E6550" t="s">
        <v>188</v>
      </c>
      <c r="F6550">
        <v>5104040102</v>
      </c>
      <c r="G6550" s="13">
        <v>5400</v>
      </c>
      <c r="I6550" t="s">
        <v>189</v>
      </c>
      <c r="J6550" t="s">
        <v>801</v>
      </c>
      <c r="K6550" t="s">
        <v>159</v>
      </c>
      <c r="L6550">
        <v>3600020645</v>
      </c>
    </row>
    <row r="6551" spans="3:12">
      <c r="C6551">
        <v>2100300025</v>
      </c>
      <c r="D6551">
        <v>6426000</v>
      </c>
      <c r="E6551" t="s">
        <v>188</v>
      </c>
      <c r="F6551">
        <v>5104040102</v>
      </c>
      <c r="G6551" s="13">
        <v>6300</v>
      </c>
      <c r="I6551" t="s">
        <v>189</v>
      </c>
      <c r="J6551" t="s">
        <v>564</v>
      </c>
      <c r="K6551" t="s">
        <v>159</v>
      </c>
      <c r="L6551">
        <v>3600019866</v>
      </c>
    </row>
    <row r="6552" spans="3:12">
      <c r="C6552">
        <v>2100300025</v>
      </c>
      <c r="D6552">
        <v>6426000</v>
      </c>
      <c r="E6552" t="s">
        <v>188</v>
      </c>
      <c r="F6552">
        <v>5104040102</v>
      </c>
      <c r="G6552" s="13">
        <v>1200</v>
      </c>
      <c r="I6552" t="s">
        <v>189</v>
      </c>
      <c r="J6552" t="s">
        <v>936</v>
      </c>
      <c r="K6552" t="s">
        <v>159</v>
      </c>
      <c r="L6552">
        <v>3600026101</v>
      </c>
    </row>
    <row r="6553" spans="3:12">
      <c r="C6553">
        <v>2100300025</v>
      </c>
      <c r="D6553">
        <v>6426000</v>
      </c>
      <c r="E6553" t="s">
        <v>188</v>
      </c>
      <c r="F6553">
        <v>5104040102</v>
      </c>
      <c r="G6553" s="13">
        <v>3600</v>
      </c>
      <c r="I6553" t="s">
        <v>189</v>
      </c>
      <c r="J6553" t="s">
        <v>837</v>
      </c>
      <c r="K6553" t="s">
        <v>159</v>
      </c>
      <c r="L6553">
        <v>3600020540</v>
      </c>
    </row>
    <row r="6554" spans="3:12">
      <c r="C6554">
        <v>2100300025</v>
      </c>
      <c r="D6554">
        <v>6426000</v>
      </c>
      <c r="E6554" t="s">
        <v>188</v>
      </c>
      <c r="F6554">
        <v>5104040102</v>
      </c>
      <c r="G6554" s="13">
        <v>33700</v>
      </c>
      <c r="I6554" t="s">
        <v>189</v>
      </c>
      <c r="J6554" t="s">
        <v>940</v>
      </c>
      <c r="K6554" t="s">
        <v>159</v>
      </c>
      <c r="L6554">
        <v>3600022897</v>
      </c>
    </row>
    <row r="6555" spans="3:12">
      <c r="C6555">
        <v>2100300025</v>
      </c>
      <c r="D6555">
        <v>6426000</v>
      </c>
      <c r="E6555" t="s">
        <v>188</v>
      </c>
      <c r="F6555">
        <v>5104040102</v>
      </c>
      <c r="G6555" s="13">
        <v>32800</v>
      </c>
      <c r="I6555" t="s">
        <v>189</v>
      </c>
      <c r="J6555" t="s">
        <v>942</v>
      </c>
      <c r="K6555" t="s">
        <v>159</v>
      </c>
      <c r="L6555">
        <v>3600026688</v>
      </c>
    </row>
    <row r="6556" spans="3:12">
      <c r="C6556">
        <v>2100300025</v>
      </c>
      <c r="D6556">
        <v>6426000</v>
      </c>
      <c r="E6556" t="s">
        <v>188</v>
      </c>
      <c r="F6556">
        <v>5104040102</v>
      </c>
      <c r="G6556" s="13">
        <v>3900</v>
      </c>
      <c r="I6556" t="s">
        <v>189</v>
      </c>
      <c r="J6556" t="s">
        <v>847</v>
      </c>
      <c r="K6556" t="s">
        <v>159</v>
      </c>
      <c r="L6556">
        <v>3600029118</v>
      </c>
    </row>
    <row r="6557" spans="3:12">
      <c r="C6557">
        <v>2100300025</v>
      </c>
      <c r="D6557">
        <v>6426000</v>
      </c>
      <c r="E6557" t="s">
        <v>188</v>
      </c>
      <c r="F6557">
        <v>5104040102</v>
      </c>
      <c r="G6557" s="13">
        <v>71760</v>
      </c>
      <c r="I6557" t="s">
        <v>189</v>
      </c>
      <c r="J6557" t="s">
        <v>954</v>
      </c>
      <c r="K6557" t="s">
        <v>159</v>
      </c>
      <c r="L6557">
        <v>3600030303</v>
      </c>
    </row>
    <row r="6558" spans="3:12">
      <c r="C6558">
        <v>2100300025</v>
      </c>
      <c r="D6558">
        <v>6426000</v>
      </c>
      <c r="E6558" t="s">
        <v>188</v>
      </c>
      <c r="F6558">
        <v>5104040102</v>
      </c>
      <c r="G6558" s="13">
        <v>5700</v>
      </c>
      <c r="I6558" t="s">
        <v>189</v>
      </c>
      <c r="J6558" t="s">
        <v>959</v>
      </c>
      <c r="K6558" t="s">
        <v>159</v>
      </c>
      <c r="L6558">
        <v>3600031960</v>
      </c>
    </row>
    <row r="6559" spans="3:12">
      <c r="C6559">
        <v>2100300025</v>
      </c>
      <c r="D6559">
        <v>6426000</v>
      </c>
      <c r="E6559" t="s">
        <v>188</v>
      </c>
      <c r="F6559">
        <v>5104040102</v>
      </c>
      <c r="G6559" s="13">
        <v>3900</v>
      </c>
      <c r="I6559" t="s">
        <v>189</v>
      </c>
      <c r="J6559" t="s">
        <v>961</v>
      </c>
      <c r="K6559" t="s">
        <v>159</v>
      </c>
      <c r="L6559">
        <v>3600031940</v>
      </c>
    </row>
    <row r="6560" spans="3:12">
      <c r="C6560">
        <v>2100300025</v>
      </c>
      <c r="D6560">
        <v>6426000</v>
      </c>
      <c r="E6560" t="s">
        <v>188</v>
      </c>
      <c r="F6560">
        <v>5104040102</v>
      </c>
      <c r="G6560" s="13">
        <v>90480</v>
      </c>
      <c r="I6560" t="s">
        <v>189</v>
      </c>
      <c r="J6560" t="s">
        <v>963</v>
      </c>
      <c r="K6560" t="s">
        <v>159</v>
      </c>
      <c r="L6560">
        <v>3600032910</v>
      </c>
    </row>
    <row r="6561" spans="3:12">
      <c r="C6561">
        <v>2100300025</v>
      </c>
      <c r="D6561">
        <v>6426000</v>
      </c>
      <c r="E6561" t="s">
        <v>188</v>
      </c>
      <c r="F6561">
        <v>5104040102</v>
      </c>
      <c r="G6561" s="13">
        <v>20000</v>
      </c>
      <c r="I6561" t="s">
        <v>189</v>
      </c>
      <c r="J6561" t="s">
        <v>966</v>
      </c>
      <c r="K6561" t="s">
        <v>159</v>
      </c>
      <c r="L6561">
        <v>3600031542</v>
      </c>
    </row>
    <row r="6562" spans="3:12">
      <c r="C6562">
        <v>2100300025</v>
      </c>
      <c r="D6562">
        <v>6426000</v>
      </c>
      <c r="E6562" t="s">
        <v>188</v>
      </c>
      <c r="F6562">
        <v>5104040102</v>
      </c>
      <c r="G6562" s="13">
        <v>46000</v>
      </c>
      <c r="I6562" t="s">
        <v>189</v>
      </c>
      <c r="J6562" t="s">
        <v>859</v>
      </c>
      <c r="K6562" t="s">
        <v>159</v>
      </c>
      <c r="L6562">
        <v>3600034516</v>
      </c>
    </row>
    <row r="6563" spans="3:12">
      <c r="C6563">
        <v>2100300025</v>
      </c>
      <c r="D6563">
        <v>6426000</v>
      </c>
      <c r="E6563" t="s">
        <v>188</v>
      </c>
      <c r="F6563">
        <v>5104040102</v>
      </c>
      <c r="G6563" s="13">
        <v>2800</v>
      </c>
      <c r="I6563" t="s">
        <v>189</v>
      </c>
      <c r="J6563" t="s">
        <v>859</v>
      </c>
      <c r="K6563" t="s">
        <v>159</v>
      </c>
      <c r="L6563">
        <v>3600023967</v>
      </c>
    </row>
    <row r="6564" spans="3:12">
      <c r="C6564">
        <v>2100300025</v>
      </c>
      <c r="D6564">
        <v>6426000</v>
      </c>
      <c r="E6564" t="s">
        <v>188</v>
      </c>
      <c r="F6564">
        <v>5104040102</v>
      </c>
      <c r="G6564" s="13">
        <v>89760</v>
      </c>
      <c r="I6564" t="s">
        <v>189</v>
      </c>
      <c r="J6564" t="s">
        <v>972</v>
      </c>
      <c r="K6564" t="s">
        <v>159</v>
      </c>
      <c r="L6564">
        <v>3600035117</v>
      </c>
    </row>
    <row r="6565" spans="3:12">
      <c r="C6565">
        <v>2100300025</v>
      </c>
      <c r="D6565">
        <v>6426000</v>
      </c>
      <c r="E6565" t="s">
        <v>188</v>
      </c>
      <c r="F6565">
        <v>5104040102</v>
      </c>
      <c r="G6565" s="13">
        <v>2800</v>
      </c>
      <c r="I6565" t="s">
        <v>189</v>
      </c>
      <c r="J6565" t="s">
        <v>980</v>
      </c>
      <c r="K6565" t="s">
        <v>159</v>
      </c>
      <c r="L6565">
        <v>3600040959</v>
      </c>
    </row>
    <row r="6566" spans="3:12">
      <c r="C6566">
        <v>2100300025</v>
      </c>
      <c r="D6566">
        <v>6426000</v>
      </c>
      <c r="E6566" t="s">
        <v>188</v>
      </c>
      <c r="F6566">
        <v>5104040102</v>
      </c>
      <c r="G6566" s="13">
        <v>3900</v>
      </c>
      <c r="I6566" t="s">
        <v>189</v>
      </c>
      <c r="J6566" t="s">
        <v>981</v>
      </c>
      <c r="K6566" t="s">
        <v>159</v>
      </c>
      <c r="L6566">
        <v>3600037875</v>
      </c>
    </row>
    <row r="6567" spans="3:12">
      <c r="C6567">
        <v>2100300025</v>
      </c>
      <c r="D6567">
        <v>6426000</v>
      </c>
      <c r="E6567" t="s">
        <v>188</v>
      </c>
      <c r="F6567">
        <v>5104040102</v>
      </c>
      <c r="G6567" s="13">
        <v>83040</v>
      </c>
      <c r="I6567" t="s">
        <v>189</v>
      </c>
      <c r="J6567" t="s">
        <v>982</v>
      </c>
      <c r="K6567" t="s">
        <v>159</v>
      </c>
      <c r="L6567">
        <v>3600040916</v>
      </c>
    </row>
    <row r="6568" spans="3:12">
      <c r="C6568">
        <v>2100300025</v>
      </c>
      <c r="D6568">
        <v>6426000</v>
      </c>
      <c r="E6568" t="s">
        <v>188</v>
      </c>
      <c r="F6568">
        <v>5104040102</v>
      </c>
      <c r="G6568" s="13">
        <v>63120</v>
      </c>
      <c r="I6568" t="s">
        <v>189</v>
      </c>
      <c r="J6568" t="s">
        <v>865</v>
      </c>
      <c r="K6568" t="s">
        <v>159</v>
      </c>
      <c r="L6568">
        <v>3600038442</v>
      </c>
    </row>
    <row r="6569" spans="3:12">
      <c r="C6569">
        <v>2100300025</v>
      </c>
      <c r="D6569">
        <v>6426000</v>
      </c>
      <c r="E6569" t="s">
        <v>188</v>
      </c>
      <c r="F6569">
        <v>5104040102</v>
      </c>
      <c r="G6569" s="13">
        <v>8775</v>
      </c>
      <c r="I6569" t="s">
        <v>189</v>
      </c>
      <c r="J6569" t="s">
        <v>985</v>
      </c>
      <c r="K6569" t="s">
        <v>159</v>
      </c>
      <c r="L6569">
        <v>3600041033</v>
      </c>
    </row>
    <row r="6570" spans="3:12">
      <c r="C6570">
        <v>2100300025</v>
      </c>
      <c r="D6570">
        <v>6426000</v>
      </c>
      <c r="E6570" t="s">
        <v>188</v>
      </c>
      <c r="F6570">
        <v>5104030207</v>
      </c>
      <c r="G6570" s="13">
        <v>1460</v>
      </c>
      <c r="I6570" t="s">
        <v>189</v>
      </c>
      <c r="J6570" t="s">
        <v>876</v>
      </c>
      <c r="K6570" t="s">
        <v>193</v>
      </c>
      <c r="L6570">
        <v>3600003379</v>
      </c>
    </row>
    <row r="6571" spans="3:12">
      <c r="C6571">
        <v>2100300025</v>
      </c>
      <c r="D6571">
        <v>6426000</v>
      </c>
      <c r="E6571" t="s">
        <v>188</v>
      </c>
      <c r="F6571">
        <v>5104030207</v>
      </c>
      <c r="G6571" s="13">
        <v>1870</v>
      </c>
      <c r="I6571" t="s">
        <v>189</v>
      </c>
      <c r="J6571" t="s">
        <v>803</v>
      </c>
      <c r="K6571" t="s">
        <v>193</v>
      </c>
      <c r="L6571">
        <v>3600003922</v>
      </c>
    </row>
    <row r="6572" spans="3:12">
      <c r="C6572">
        <v>2100300025</v>
      </c>
      <c r="D6572">
        <v>6426000</v>
      </c>
      <c r="E6572" t="s">
        <v>188</v>
      </c>
      <c r="F6572">
        <v>5104030207</v>
      </c>
      <c r="G6572">
        <v>660</v>
      </c>
      <c r="I6572" t="s">
        <v>189</v>
      </c>
      <c r="J6572" t="s">
        <v>880</v>
      </c>
      <c r="K6572" t="s">
        <v>193</v>
      </c>
      <c r="L6572">
        <v>3600000049</v>
      </c>
    </row>
    <row r="6573" spans="3:12">
      <c r="C6573">
        <v>2100300025</v>
      </c>
      <c r="D6573">
        <v>6426000</v>
      </c>
      <c r="E6573" t="s">
        <v>188</v>
      </c>
      <c r="F6573">
        <v>5104030207</v>
      </c>
      <c r="G6573">
        <v>580</v>
      </c>
      <c r="I6573" t="s">
        <v>189</v>
      </c>
      <c r="J6573" t="s">
        <v>881</v>
      </c>
      <c r="K6573" t="s">
        <v>193</v>
      </c>
      <c r="L6573">
        <v>3600000637</v>
      </c>
    </row>
    <row r="6574" spans="3:12">
      <c r="C6574">
        <v>2100300025</v>
      </c>
      <c r="D6574">
        <v>6426000</v>
      </c>
      <c r="E6574" t="s">
        <v>188</v>
      </c>
      <c r="F6574">
        <v>5104040102</v>
      </c>
      <c r="G6574" s="13">
        <v>20000</v>
      </c>
      <c r="I6574" t="s">
        <v>189</v>
      </c>
      <c r="J6574" t="s">
        <v>881</v>
      </c>
      <c r="K6574" t="s">
        <v>159</v>
      </c>
      <c r="L6574">
        <v>3600000637</v>
      </c>
    </row>
    <row r="6575" spans="3:12">
      <c r="C6575">
        <v>2100300025</v>
      </c>
      <c r="D6575">
        <v>6426000</v>
      </c>
      <c r="E6575" t="s">
        <v>188</v>
      </c>
      <c r="F6575">
        <v>5104030207</v>
      </c>
      <c r="G6575">
        <v>595</v>
      </c>
      <c r="I6575" t="s">
        <v>189</v>
      </c>
      <c r="J6575" t="s">
        <v>832</v>
      </c>
      <c r="K6575" t="s">
        <v>193</v>
      </c>
      <c r="L6575">
        <v>3600022531</v>
      </c>
    </row>
    <row r="6576" spans="3:12">
      <c r="C6576">
        <v>2100300025</v>
      </c>
      <c r="D6576">
        <v>6426000</v>
      </c>
      <c r="E6576" t="s">
        <v>188</v>
      </c>
      <c r="F6576">
        <v>5104030207</v>
      </c>
      <c r="G6576">
        <v>855</v>
      </c>
      <c r="I6576" t="s">
        <v>189</v>
      </c>
      <c r="J6576" t="s">
        <v>934</v>
      </c>
      <c r="K6576" t="s">
        <v>193</v>
      </c>
      <c r="L6576">
        <v>3600025974</v>
      </c>
    </row>
    <row r="6577" spans="3:12">
      <c r="C6577">
        <v>2100300025</v>
      </c>
      <c r="D6577">
        <v>6426000</v>
      </c>
      <c r="E6577" t="s">
        <v>188</v>
      </c>
      <c r="F6577">
        <v>5104030207</v>
      </c>
      <c r="G6577" s="13">
        <v>2175</v>
      </c>
      <c r="I6577" t="s">
        <v>189</v>
      </c>
      <c r="J6577" t="s">
        <v>955</v>
      </c>
      <c r="K6577" t="s">
        <v>193</v>
      </c>
      <c r="L6577">
        <v>3600031037</v>
      </c>
    </row>
    <row r="6578" spans="3:12">
      <c r="C6578">
        <v>2100300025</v>
      </c>
      <c r="D6578">
        <v>6426000</v>
      </c>
      <c r="E6578" t="s">
        <v>188</v>
      </c>
      <c r="F6578">
        <v>5104040102</v>
      </c>
      <c r="G6578" s="13">
        <v>6300</v>
      </c>
      <c r="I6578" t="s">
        <v>189</v>
      </c>
      <c r="J6578" t="s">
        <v>955</v>
      </c>
      <c r="K6578" t="s">
        <v>159</v>
      </c>
      <c r="L6578">
        <v>3600031037</v>
      </c>
    </row>
    <row r="6579" spans="3:12">
      <c r="C6579">
        <v>2100300025</v>
      </c>
      <c r="D6579">
        <v>6426000</v>
      </c>
      <c r="E6579" t="s">
        <v>188</v>
      </c>
      <c r="F6579">
        <v>5104030207</v>
      </c>
      <c r="G6579" s="13">
        <v>2525</v>
      </c>
      <c r="I6579" t="s">
        <v>189</v>
      </c>
      <c r="J6579" t="s">
        <v>977</v>
      </c>
      <c r="K6579" t="s">
        <v>193</v>
      </c>
      <c r="L6579">
        <v>3600036643</v>
      </c>
    </row>
    <row r="6580" spans="3:12">
      <c r="C6580">
        <v>2100300025</v>
      </c>
      <c r="D6580">
        <v>6426000</v>
      </c>
      <c r="E6580" t="s">
        <v>188</v>
      </c>
      <c r="F6580">
        <v>5104030219</v>
      </c>
      <c r="G6580" s="13">
        <v>2000</v>
      </c>
      <c r="I6580" t="s">
        <v>189</v>
      </c>
      <c r="J6580" t="s">
        <v>925</v>
      </c>
      <c r="K6580" t="s">
        <v>91</v>
      </c>
      <c r="L6580">
        <v>3600021743</v>
      </c>
    </row>
    <row r="6581" spans="3:12">
      <c r="C6581">
        <v>2100300025</v>
      </c>
      <c r="D6581">
        <v>6426000</v>
      </c>
      <c r="E6581" t="s">
        <v>188</v>
      </c>
      <c r="F6581">
        <v>5104030219</v>
      </c>
      <c r="G6581" s="13">
        <v>2000</v>
      </c>
      <c r="I6581" t="s">
        <v>189</v>
      </c>
      <c r="J6581" t="s">
        <v>974</v>
      </c>
      <c r="K6581" t="s">
        <v>91</v>
      </c>
      <c r="L6581">
        <v>3600037214</v>
      </c>
    </row>
    <row r="6582" spans="3:12">
      <c r="C6582">
        <v>2100300025</v>
      </c>
      <c r="D6582">
        <v>6426000</v>
      </c>
      <c r="E6582" t="s">
        <v>188</v>
      </c>
      <c r="F6582">
        <v>5104030299</v>
      </c>
      <c r="G6582" s="13">
        <v>4000000</v>
      </c>
      <c r="I6582" t="s">
        <v>189</v>
      </c>
      <c r="J6582" t="s">
        <v>857</v>
      </c>
      <c r="K6582" t="s">
        <v>93</v>
      </c>
      <c r="L6582">
        <v>3600032785</v>
      </c>
    </row>
    <row r="6583" spans="3:12">
      <c r="C6583">
        <v>2100300025</v>
      </c>
      <c r="D6583">
        <v>6426000</v>
      </c>
      <c r="E6583" t="s">
        <v>188</v>
      </c>
      <c r="F6583">
        <v>5104040102</v>
      </c>
      <c r="G6583" s="13">
        <v>414233</v>
      </c>
      <c r="I6583" t="s">
        <v>189</v>
      </c>
      <c r="J6583" t="s">
        <v>878</v>
      </c>
      <c r="K6583" t="s">
        <v>159</v>
      </c>
      <c r="L6583">
        <v>3600003301</v>
      </c>
    </row>
    <row r="6584" spans="3:12">
      <c r="C6584">
        <v>2100300025</v>
      </c>
      <c r="D6584">
        <v>6426000</v>
      </c>
      <c r="E6584" t="s">
        <v>188</v>
      </c>
      <c r="F6584">
        <v>5104040102</v>
      </c>
      <c r="G6584" s="13">
        <v>397628</v>
      </c>
      <c r="I6584" t="s">
        <v>189</v>
      </c>
      <c r="J6584" t="s">
        <v>890</v>
      </c>
      <c r="K6584" t="s">
        <v>159</v>
      </c>
      <c r="L6584">
        <v>3600007031</v>
      </c>
    </row>
    <row r="6585" spans="3:12">
      <c r="C6585">
        <v>2100300025</v>
      </c>
      <c r="D6585">
        <v>6426000</v>
      </c>
      <c r="E6585" t="s">
        <v>188</v>
      </c>
      <c r="F6585">
        <v>5104040102</v>
      </c>
      <c r="G6585" s="13">
        <v>8700</v>
      </c>
      <c r="I6585" t="s">
        <v>189</v>
      </c>
      <c r="J6585" t="s">
        <v>901</v>
      </c>
      <c r="K6585" t="s">
        <v>159</v>
      </c>
      <c r="L6585">
        <v>3600012490</v>
      </c>
    </row>
    <row r="6586" spans="3:12">
      <c r="C6586">
        <v>2100300025</v>
      </c>
      <c r="D6586">
        <v>6426000</v>
      </c>
      <c r="E6586" t="s">
        <v>188</v>
      </c>
      <c r="F6586">
        <v>5104040102</v>
      </c>
      <c r="G6586" s="13">
        <v>198965.56</v>
      </c>
      <c r="I6586" t="s">
        <v>189</v>
      </c>
      <c r="J6586" t="s">
        <v>905</v>
      </c>
      <c r="K6586" t="s">
        <v>159</v>
      </c>
      <c r="L6586">
        <v>3600014185</v>
      </c>
    </row>
    <row r="6587" spans="3:12">
      <c r="C6587">
        <v>2100300025</v>
      </c>
      <c r="D6587">
        <v>6426000</v>
      </c>
      <c r="E6587" t="s">
        <v>188</v>
      </c>
      <c r="F6587">
        <v>5104040102</v>
      </c>
      <c r="G6587" s="13">
        <v>5000</v>
      </c>
      <c r="I6587" t="s">
        <v>189</v>
      </c>
      <c r="J6587" t="s">
        <v>828</v>
      </c>
      <c r="K6587" t="s">
        <v>159</v>
      </c>
      <c r="L6587">
        <v>3600020302</v>
      </c>
    </row>
    <row r="6588" spans="3:12">
      <c r="C6588">
        <v>2100300025</v>
      </c>
      <c r="D6588">
        <v>6426000</v>
      </c>
      <c r="E6588" t="s">
        <v>188</v>
      </c>
      <c r="F6588">
        <v>5104040102</v>
      </c>
      <c r="G6588" s="13">
        <v>1692131</v>
      </c>
      <c r="I6588" t="s">
        <v>189</v>
      </c>
      <c r="J6588" t="s">
        <v>928</v>
      </c>
      <c r="K6588" t="s">
        <v>159</v>
      </c>
      <c r="L6588">
        <v>3600020341</v>
      </c>
    </row>
    <row r="6589" spans="3:12">
      <c r="C6589">
        <v>2100300025</v>
      </c>
      <c r="D6589">
        <v>6426000</v>
      </c>
      <c r="E6589" t="s">
        <v>188</v>
      </c>
      <c r="F6589">
        <v>5104040102</v>
      </c>
      <c r="G6589" s="13">
        <v>68000</v>
      </c>
      <c r="I6589" t="s">
        <v>189</v>
      </c>
      <c r="J6589" t="s">
        <v>933</v>
      </c>
      <c r="K6589" t="s">
        <v>159</v>
      </c>
      <c r="L6589">
        <v>3600024743</v>
      </c>
    </row>
    <row r="6590" spans="3:12">
      <c r="C6590">
        <v>2100300025</v>
      </c>
      <c r="D6590">
        <v>6426000</v>
      </c>
      <c r="E6590" t="s">
        <v>188</v>
      </c>
      <c r="F6590">
        <v>5104040102</v>
      </c>
      <c r="G6590" s="13">
        <v>484265.03</v>
      </c>
      <c r="I6590" t="s">
        <v>189</v>
      </c>
      <c r="J6590" t="s">
        <v>933</v>
      </c>
      <c r="K6590" t="s">
        <v>159</v>
      </c>
      <c r="L6590">
        <v>3600024867</v>
      </c>
    </row>
    <row r="6591" spans="3:12">
      <c r="C6591">
        <v>2100300025</v>
      </c>
      <c r="D6591">
        <v>6426000</v>
      </c>
      <c r="E6591" t="s">
        <v>188</v>
      </c>
      <c r="F6591">
        <v>5104040102</v>
      </c>
      <c r="G6591" s="13">
        <v>484314</v>
      </c>
      <c r="I6591" t="s">
        <v>189</v>
      </c>
      <c r="J6591" t="s">
        <v>942</v>
      </c>
      <c r="K6591" t="s">
        <v>159</v>
      </c>
      <c r="L6591">
        <v>3600024266</v>
      </c>
    </row>
    <row r="6592" spans="3:12">
      <c r="C6592">
        <v>2100300025</v>
      </c>
      <c r="D6592">
        <v>6426000</v>
      </c>
      <c r="E6592" t="s">
        <v>188</v>
      </c>
      <c r="F6592">
        <v>5104040102</v>
      </c>
      <c r="G6592" s="13">
        <v>410489</v>
      </c>
      <c r="I6592" t="s">
        <v>189</v>
      </c>
      <c r="J6592" t="s">
        <v>967</v>
      </c>
      <c r="K6592" t="s">
        <v>159</v>
      </c>
      <c r="L6592">
        <v>3600023480</v>
      </c>
    </row>
    <row r="6593" spans="3:12">
      <c r="C6593">
        <v>2100300025</v>
      </c>
      <c r="D6593">
        <v>6426000</v>
      </c>
      <c r="E6593" t="s">
        <v>188</v>
      </c>
      <c r="F6593">
        <v>5104040102</v>
      </c>
      <c r="G6593" s="13">
        <v>20000</v>
      </c>
      <c r="I6593" t="s">
        <v>189</v>
      </c>
      <c r="J6593" t="s">
        <v>868</v>
      </c>
      <c r="K6593" t="s">
        <v>159</v>
      </c>
      <c r="L6593">
        <v>3600037152</v>
      </c>
    </row>
    <row r="6594" spans="3:12">
      <c r="C6594">
        <v>2100300025</v>
      </c>
      <c r="D6594">
        <v>6426000</v>
      </c>
      <c r="E6594" t="s">
        <v>188</v>
      </c>
      <c r="F6594">
        <v>5104030207</v>
      </c>
      <c r="G6594">
        <v>300</v>
      </c>
      <c r="I6594" t="s">
        <v>189</v>
      </c>
      <c r="J6594" t="s">
        <v>985</v>
      </c>
      <c r="K6594" t="s">
        <v>193</v>
      </c>
      <c r="L6594">
        <v>3600041374</v>
      </c>
    </row>
    <row r="6595" spans="3:12">
      <c r="C6595">
        <v>2100300025</v>
      </c>
      <c r="D6595">
        <v>6426000</v>
      </c>
      <c r="E6595" t="s">
        <v>188</v>
      </c>
      <c r="F6595">
        <v>5104040102</v>
      </c>
      <c r="G6595" s="13">
        <v>3900</v>
      </c>
      <c r="I6595" t="s">
        <v>189</v>
      </c>
      <c r="J6595" t="s">
        <v>985</v>
      </c>
      <c r="K6595" t="s">
        <v>159</v>
      </c>
      <c r="L6595">
        <v>3600041374</v>
      </c>
    </row>
    <row r="6596" spans="3:12">
      <c r="C6596">
        <v>2100300025</v>
      </c>
      <c r="D6596">
        <v>6426000</v>
      </c>
      <c r="E6596" t="s">
        <v>188</v>
      </c>
      <c r="F6596">
        <v>5104030219</v>
      </c>
      <c r="G6596" s="13">
        <v>2000</v>
      </c>
      <c r="I6596" t="s">
        <v>189</v>
      </c>
      <c r="J6596" t="s">
        <v>799</v>
      </c>
      <c r="K6596" t="s">
        <v>91</v>
      </c>
      <c r="L6596">
        <v>3600017038</v>
      </c>
    </row>
    <row r="6597" spans="3:12">
      <c r="C6597">
        <v>2100300025</v>
      </c>
      <c r="D6597">
        <v>6426000</v>
      </c>
      <c r="E6597" t="s">
        <v>188</v>
      </c>
      <c r="F6597">
        <v>5104030207</v>
      </c>
      <c r="G6597">
        <v>100</v>
      </c>
      <c r="I6597" t="s">
        <v>189</v>
      </c>
      <c r="J6597" t="s">
        <v>822</v>
      </c>
      <c r="K6597" t="s">
        <v>193</v>
      </c>
      <c r="L6597">
        <v>3600013689</v>
      </c>
    </row>
    <row r="6598" spans="3:12">
      <c r="C6598">
        <v>2100300025</v>
      </c>
      <c r="D6598">
        <v>6426000</v>
      </c>
      <c r="E6598" t="s">
        <v>188</v>
      </c>
      <c r="F6598">
        <v>5104040102</v>
      </c>
      <c r="G6598" s="13">
        <v>5000</v>
      </c>
      <c r="I6598" t="s">
        <v>189</v>
      </c>
      <c r="J6598" t="s">
        <v>822</v>
      </c>
      <c r="K6598" t="s">
        <v>159</v>
      </c>
      <c r="L6598">
        <v>3600013689</v>
      </c>
    </row>
    <row r="6599" spans="3:12">
      <c r="C6599">
        <v>2100300025</v>
      </c>
      <c r="D6599">
        <v>6426000</v>
      </c>
      <c r="E6599" t="s">
        <v>188</v>
      </c>
      <c r="F6599">
        <v>5104030207</v>
      </c>
      <c r="G6599">
        <v>405</v>
      </c>
      <c r="I6599" t="s">
        <v>189</v>
      </c>
      <c r="J6599" t="s">
        <v>920</v>
      </c>
      <c r="K6599" t="s">
        <v>193</v>
      </c>
      <c r="L6599">
        <v>3600017630</v>
      </c>
    </row>
    <row r="6600" spans="3:12">
      <c r="C6600">
        <v>2100300025</v>
      </c>
      <c r="D6600">
        <v>6426000</v>
      </c>
      <c r="E6600" t="s">
        <v>188</v>
      </c>
      <c r="F6600">
        <v>5104040102</v>
      </c>
      <c r="G6600" s="13">
        <v>20000</v>
      </c>
      <c r="I6600" t="s">
        <v>189</v>
      </c>
      <c r="J6600" t="s">
        <v>920</v>
      </c>
      <c r="K6600" t="s">
        <v>159</v>
      </c>
      <c r="L6600">
        <v>3600017630</v>
      </c>
    </row>
    <row r="6601" spans="3:12">
      <c r="C6601">
        <v>2100300025</v>
      </c>
      <c r="D6601">
        <v>6426000</v>
      </c>
      <c r="E6601" t="s">
        <v>188</v>
      </c>
      <c r="F6601">
        <v>5104030207</v>
      </c>
      <c r="G6601">
        <v>400</v>
      </c>
      <c r="I6601" t="s">
        <v>189</v>
      </c>
      <c r="J6601" t="s">
        <v>923</v>
      </c>
      <c r="K6601" t="s">
        <v>193</v>
      </c>
      <c r="L6601">
        <v>3600020717</v>
      </c>
    </row>
    <row r="6602" spans="3:12">
      <c r="C6602">
        <v>2100300025</v>
      </c>
      <c r="D6602">
        <v>6426000</v>
      </c>
      <c r="E6602" t="s">
        <v>188</v>
      </c>
      <c r="F6602">
        <v>5104030207</v>
      </c>
      <c r="G6602">
        <v>340</v>
      </c>
      <c r="I6602" t="s">
        <v>189</v>
      </c>
      <c r="J6602" t="s">
        <v>846</v>
      </c>
      <c r="K6602" t="s">
        <v>193</v>
      </c>
      <c r="L6602">
        <v>3600030684</v>
      </c>
    </row>
    <row r="6603" spans="3:12">
      <c r="C6603">
        <v>2100300025</v>
      </c>
      <c r="D6603">
        <v>6426000</v>
      </c>
      <c r="E6603" t="s">
        <v>188</v>
      </c>
      <c r="F6603">
        <v>5104030207</v>
      </c>
      <c r="G6603">
        <v>810</v>
      </c>
      <c r="I6603" t="s">
        <v>189</v>
      </c>
      <c r="J6603" t="s">
        <v>867</v>
      </c>
      <c r="K6603" t="s">
        <v>193</v>
      </c>
      <c r="L6603">
        <v>3600040403</v>
      </c>
    </row>
    <row r="6604" spans="3:12">
      <c r="C6604">
        <v>2100300025</v>
      </c>
      <c r="D6604">
        <v>6426000</v>
      </c>
      <c r="E6604" t="s">
        <v>188</v>
      </c>
      <c r="F6604">
        <v>5104040102</v>
      </c>
      <c r="G6604" s="13">
        <v>6300</v>
      </c>
      <c r="I6604" t="s">
        <v>189</v>
      </c>
      <c r="J6604" t="s">
        <v>867</v>
      </c>
      <c r="K6604" t="s">
        <v>159</v>
      </c>
      <c r="L6604">
        <v>3600040403</v>
      </c>
    </row>
    <row r="6605" spans="3:12">
      <c r="C6605">
        <v>2100300025</v>
      </c>
      <c r="D6605">
        <v>6426000</v>
      </c>
      <c r="E6605" t="s">
        <v>188</v>
      </c>
      <c r="F6605">
        <v>5104030219</v>
      </c>
      <c r="G6605" s="13">
        <v>2000</v>
      </c>
      <c r="I6605" t="s">
        <v>189</v>
      </c>
      <c r="J6605" t="s">
        <v>825</v>
      </c>
      <c r="K6605" t="s">
        <v>91</v>
      </c>
      <c r="L6605">
        <v>3600019017</v>
      </c>
    </row>
    <row r="6606" spans="3:12">
      <c r="C6606">
        <v>2100300025</v>
      </c>
      <c r="D6606">
        <v>6426000</v>
      </c>
      <c r="E6606" t="s">
        <v>188</v>
      </c>
      <c r="F6606">
        <v>5104030219</v>
      </c>
      <c r="G6606" s="13">
        <v>2000</v>
      </c>
      <c r="I6606" t="s">
        <v>189</v>
      </c>
      <c r="J6606" t="s">
        <v>942</v>
      </c>
      <c r="K6606" t="s">
        <v>91</v>
      </c>
      <c r="L6606">
        <v>3600026819</v>
      </c>
    </row>
    <row r="6607" spans="3:12">
      <c r="C6607">
        <v>2100300025</v>
      </c>
      <c r="D6607">
        <v>6426000</v>
      </c>
      <c r="E6607" t="s">
        <v>188</v>
      </c>
      <c r="F6607">
        <v>5104040102</v>
      </c>
      <c r="G6607" s="13">
        <v>37000</v>
      </c>
      <c r="I6607" t="s">
        <v>189</v>
      </c>
      <c r="J6607" t="s">
        <v>877</v>
      </c>
      <c r="K6607" t="s">
        <v>159</v>
      </c>
      <c r="L6607">
        <v>3600000418</v>
      </c>
    </row>
    <row r="6608" spans="3:12">
      <c r="C6608">
        <v>2100300025</v>
      </c>
      <c r="D6608">
        <v>6426000</v>
      </c>
      <c r="E6608" t="s">
        <v>188</v>
      </c>
      <c r="F6608">
        <v>5104040102</v>
      </c>
      <c r="G6608" s="13">
        <v>5000</v>
      </c>
      <c r="I6608" t="s">
        <v>189</v>
      </c>
      <c r="J6608" t="s">
        <v>879</v>
      </c>
      <c r="K6608" t="s">
        <v>159</v>
      </c>
      <c r="L6608">
        <v>3600002141</v>
      </c>
    </row>
    <row r="6609" spans="3:12">
      <c r="C6609">
        <v>2100300025</v>
      </c>
      <c r="D6609">
        <v>6426000</v>
      </c>
      <c r="E6609" t="s">
        <v>188</v>
      </c>
      <c r="F6609">
        <v>5104040102</v>
      </c>
      <c r="G6609" s="13">
        <v>75466</v>
      </c>
      <c r="I6609" t="s">
        <v>189</v>
      </c>
      <c r="J6609" t="s">
        <v>879</v>
      </c>
      <c r="K6609" t="s">
        <v>159</v>
      </c>
      <c r="L6609">
        <v>3600000255</v>
      </c>
    </row>
    <row r="6610" spans="3:12">
      <c r="C6610">
        <v>2100300025</v>
      </c>
      <c r="D6610">
        <v>6426000</v>
      </c>
      <c r="E6610" t="s">
        <v>188</v>
      </c>
      <c r="F6610">
        <v>5104040102</v>
      </c>
      <c r="G6610" s="13">
        <v>5000</v>
      </c>
      <c r="I6610" t="s">
        <v>189</v>
      </c>
      <c r="J6610" t="s">
        <v>887</v>
      </c>
      <c r="K6610" t="s">
        <v>159</v>
      </c>
      <c r="L6610">
        <v>3600005827</v>
      </c>
    </row>
    <row r="6611" spans="3:12">
      <c r="C6611">
        <v>2100300025</v>
      </c>
      <c r="D6611">
        <v>6426000</v>
      </c>
      <c r="E6611" t="s">
        <v>188</v>
      </c>
      <c r="F6611">
        <v>5104040102</v>
      </c>
      <c r="G6611" s="13">
        <v>5000</v>
      </c>
      <c r="I6611" t="s">
        <v>189</v>
      </c>
      <c r="J6611" t="s">
        <v>814</v>
      </c>
      <c r="K6611" t="s">
        <v>159</v>
      </c>
      <c r="L6611">
        <v>3600007466</v>
      </c>
    </row>
    <row r="6612" spans="3:12">
      <c r="C6612">
        <v>2100300025</v>
      </c>
      <c r="D6612">
        <v>6426000</v>
      </c>
      <c r="E6612" t="s">
        <v>188</v>
      </c>
      <c r="F6612">
        <v>5104040102</v>
      </c>
      <c r="G6612" s="13">
        <v>18000</v>
      </c>
      <c r="I6612" t="s">
        <v>189</v>
      </c>
      <c r="J6612" t="s">
        <v>899</v>
      </c>
      <c r="K6612" t="s">
        <v>159</v>
      </c>
      <c r="L6612">
        <v>3600009043</v>
      </c>
    </row>
    <row r="6613" spans="3:12">
      <c r="C6613">
        <v>2100300025</v>
      </c>
      <c r="D6613">
        <v>6426000</v>
      </c>
      <c r="E6613" t="s">
        <v>188</v>
      </c>
      <c r="F6613">
        <v>5104040102</v>
      </c>
      <c r="G6613" s="13">
        <v>5000</v>
      </c>
      <c r="I6613" t="s">
        <v>189</v>
      </c>
      <c r="J6613" t="s">
        <v>906</v>
      </c>
      <c r="K6613" t="s">
        <v>159</v>
      </c>
      <c r="L6613">
        <v>3600013656</v>
      </c>
    </row>
    <row r="6614" spans="3:12">
      <c r="C6614">
        <v>2100300025</v>
      </c>
      <c r="D6614">
        <v>6426000</v>
      </c>
      <c r="E6614" t="s">
        <v>188</v>
      </c>
      <c r="F6614">
        <v>5104040102</v>
      </c>
      <c r="G6614" s="13">
        <v>152532.49</v>
      </c>
      <c r="I6614" t="s">
        <v>189</v>
      </c>
      <c r="J6614" t="s">
        <v>925</v>
      </c>
      <c r="K6614" t="s">
        <v>159</v>
      </c>
      <c r="L6614">
        <v>3600021663</v>
      </c>
    </row>
    <row r="6615" spans="3:12">
      <c r="C6615">
        <v>2100300025</v>
      </c>
      <c r="D6615">
        <v>6426000</v>
      </c>
      <c r="E6615" t="s">
        <v>188</v>
      </c>
      <c r="F6615">
        <v>5104040102</v>
      </c>
      <c r="G6615" s="13">
        <v>25000</v>
      </c>
      <c r="I6615" t="s">
        <v>189</v>
      </c>
      <c r="J6615" t="s">
        <v>834</v>
      </c>
      <c r="K6615" t="s">
        <v>159</v>
      </c>
      <c r="L6615">
        <v>3600024206</v>
      </c>
    </row>
    <row r="6616" spans="3:12">
      <c r="C6616">
        <v>2100300025</v>
      </c>
      <c r="D6616">
        <v>6426000</v>
      </c>
      <c r="E6616" t="s">
        <v>188</v>
      </c>
      <c r="F6616">
        <v>5104040102</v>
      </c>
      <c r="G6616" s="13">
        <v>5000</v>
      </c>
      <c r="I6616" t="s">
        <v>189</v>
      </c>
      <c r="J6616" t="s">
        <v>836</v>
      </c>
      <c r="K6616" t="s">
        <v>159</v>
      </c>
      <c r="L6616">
        <v>3600024048</v>
      </c>
    </row>
    <row r="6617" spans="3:12">
      <c r="C6617">
        <v>2100300025</v>
      </c>
      <c r="D6617">
        <v>6426000</v>
      </c>
      <c r="E6617" t="s">
        <v>188</v>
      </c>
      <c r="F6617">
        <v>5104040102</v>
      </c>
      <c r="G6617">
        <v>688.62</v>
      </c>
      <c r="I6617" t="s">
        <v>189</v>
      </c>
      <c r="J6617" t="s">
        <v>561</v>
      </c>
      <c r="K6617" t="s">
        <v>159</v>
      </c>
      <c r="L6617">
        <v>3600026847</v>
      </c>
    </row>
    <row r="6618" spans="3:12">
      <c r="C6618">
        <v>2100300025</v>
      </c>
      <c r="D6618">
        <v>6426000</v>
      </c>
      <c r="E6618" t="s">
        <v>188</v>
      </c>
      <c r="F6618">
        <v>5104040102</v>
      </c>
      <c r="G6618" s="13">
        <v>5600</v>
      </c>
      <c r="I6618" t="s">
        <v>189</v>
      </c>
      <c r="J6618" t="s">
        <v>847</v>
      </c>
      <c r="K6618" t="s">
        <v>159</v>
      </c>
      <c r="L6618">
        <v>3600026889</v>
      </c>
    </row>
    <row r="6619" spans="3:12">
      <c r="C6619">
        <v>2100300025</v>
      </c>
      <c r="D6619">
        <v>6426000</v>
      </c>
      <c r="E6619" t="s">
        <v>188</v>
      </c>
      <c r="F6619">
        <v>5104040102</v>
      </c>
      <c r="G6619" s="13">
        <v>379017</v>
      </c>
      <c r="I6619" t="s">
        <v>189</v>
      </c>
      <c r="J6619" t="s">
        <v>847</v>
      </c>
      <c r="K6619" t="s">
        <v>159</v>
      </c>
      <c r="L6619">
        <v>3600029119</v>
      </c>
    </row>
    <row r="6620" spans="3:12">
      <c r="C6620">
        <v>2100300025</v>
      </c>
      <c r="D6620">
        <v>6426000</v>
      </c>
      <c r="E6620" t="s">
        <v>188</v>
      </c>
      <c r="F6620">
        <v>5104040102</v>
      </c>
      <c r="G6620" s="13">
        <v>25000</v>
      </c>
      <c r="I6620" t="s">
        <v>189</v>
      </c>
      <c r="J6620" t="s">
        <v>847</v>
      </c>
      <c r="K6620" t="s">
        <v>159</v>
      </c>
      <c r="L6620">
        <v>3600024299</v>
      </c>
    </row>
    <row r="6621" spans="3:12">
      <c r="C6621">
        <v>2100300025</v>
      </c>
      <c r="D6621">
        <v>6426000</v>
      </c>
      <c r="E6621" t="s">
        <v>188</v>
      </c>
      <c r="F6621">
        <v>5104040102</v>
      </c>
      <c r="G6621" s="13">
        <v>459620</v>
      </c>
      <c r="I6621" t="s">
        <v>189</v>
      </c>
      <c r="J6621" t="s">
        <v>959</v>
      </c>
      <c r="K6621" t="s">
        <v>159</v>
      </c>
      <c r="L6621">
        <v>3600031833</v>
      </c>
    </row>
    <row r="6622" spans="3:12">
      <c r="C6622">
        <v>2100300025</v>
      </c>
      <c r="D6622">
        <v>6426000</v>
      </c>
      <c r="E6622" t="s">
        <v>188</v>
      </c>
      <c r="F6622">
        <v>5104040102</v>
      </c>
      <c r="G6622" s="13">
        <v>90792</v>
      </c>
      <c r="I6622" t="s">
        <v>189</v>
      </c>
      <c r="J6622" t="s">
        <v>873</v>
      </c>
      <c r="K6622" t="s">
        <v>159</v>
      </c>
      <c r="L6622">
        <v>3600032073</v>
      </c>
    </row>
    <row r="6623" spans="3:12">
      <c r="C6623">
        <v>2100300025</v>
      </c>
      <c r="D6623">
        <v>6426000</v>
      </c>
      <c r="E6623" t="s">
        <v>188</v>
      </c>
      <c r="F6623">
        <v>5104040102</v>
      </c>
      <c r="G6623" s="13">
        <v>6000</v>
      </c>
      <c r="I6623" t="s">
        <v>189</v>
      </c>
      <c r="J6623" t="s">
        <v>859</v>
      </c>
      <c r="K6623" t="s">
        <v>159</v>
      </c>
      <c r="L6623">
        <v>3600034515</v>
      </c>
    </row>
    <row r="6624" spans="3:12">
      <c r="C6624">
        <v>2100300025</v>
      </c>
      <c r="D6624">
        <v>6426000</v>
      </c>
      <c r="E6624" t="s">
        <v>188</v>
      </c>
      <c r="F6624">
        <v>5104040102</v>
      </c>
      <c r="G6624" s="13">
        <v>25400</v>
      </c>
      <c r="I6624" t="s">
        <v>189</v>
      </c>
      <c r="J6624" t="s">
        <v>859</v>
      </c>
      <c r="K6624" t="s">
        <v>159</v>
      </c>
      <c r="L6624">
        <v>3600032783</v>
      </c>
    </row>
    <row r="6625" spans="3:12">
      <c r="C6625">
        <v>2100300025</v>
      </c>
      <c r="D6625">
        <v>6426000</v>
      </c>
      <c r="E6625" t="s">
        <v>188</v>
      </c>
      <c r="F6625">
        <v>5104040102</v>
      </c>
      <c r="G6625" s="13">
        <v>99506.95</v>
      </c>
      <c r="I6625" t="s">
        <v>189</v>
      </c>
      <c r="J6625" t="s">
        <v>861</v>
      </c>
      <c r="K6625" t="s">
        <v>159</v>
      </c>
      <c r="L6625">
        <v>3600030487</v>
      </c>
    </row>
    <row r="6626" spans="3:12">
      <c r="C6626">
        <v>2100300025</v>
      </c>
      <c r="D6626">
        <v>6426000</v>
      </c>
      <c r="E6626" t="s">
        <v>188</v>
      </c>
      <c r="F6626">
        <v>5104040102</v>
      </c>
      <c r="G6626" s="13">
        <v>2800</v>
      </c>
      <c r="I6626" t="s">
        <v>189</v>
      </c>
      <c r="J6626" t="s">
        <v>975</v>
      </c>
      <c r="K6626" t="s">
        <v>159</v>
      </c>
      <c r="L6626">
        <v>3600035152</v>
      </c>
    </row>
    <row r="6627" spans="3:12">
      <c r="C6627">
        <v>2100300025</v>
      </c>
      <c r="D6627">
        <v>6426000</v>
      </c>
      <c r="E6627" t="s">
        <v>188</v>
      </c>
      <c r="F6627">
        <v>5104040102</v>
      </c>
      <c r="G6627" s="13">
        <v>403349</v>
      </c>
      <c r="I6627" t="s">
        <v>189</v>
      </c>
      <c r="J6627" t="s">
        <v>867</v>
      </c>
      <c r="K6627" t="s">
        <v>159</v>
      </c>
      <c r="L6627">
        <v>3600038433</v>
      </c>
    </row>
    <row r="6628" spans="3:12">
      <c r="C6628">
        <v>2100300025</v>
      </c>
      <c r="D6628">
        <v>6426000</v>
      </c>
      <c r="E6628" t="s">
        <v>188</v>
      </c>
      <c r="F6628">
        <v>5212010199</v>
      </c>
      <c r="G6628">
        <v>420</v>
      </c>
      <c r="I6628" t="s">
        <v>189</v>
      </c>
      <c r="J6628" t="s">
        <v>877</v>
      </c>
      <c r="K6628" t="s">
        <v>217</v>
      </c>
      <c r="L6628">
        <v>3600000665</v>
      </c>
    </row>
    <row r="6629" spans="3:12">
      <c r="C6629">
        <v>2100300025</v>
      </c>
      <c r="D6629">
        <v>6426000</v>
      </c>
      <c r="E6629" t="s">
        <v>188</v>
      </c>
      <c r="F6629">
        <v>5212010199</v>
      </c>
      <c r="G6629" s="13">
        <v>11420</v>
      </c>
      <c r="I6629" t="s">
        <v>189</v>
      </c>
      <c r="J6629" t="s">
        <v>889</v>
      </c>
      <c r="K6629" t="s">
        <v>217</v>
      </c>
      <c r="L6629">
        <v>3600007063</v>
      </c>
    </row>
    <row r="6630" spans="3:12">
      <c r="C6630">
        <v>2100300025</v>
      </c>
      <c r="D6630">
        <v>6426000</v>
      </c>
      <c r="E6630" t="s">
        <v>188</v>
      </c>
      <c r="F6630">
        <v>5212010199</v>
      </c>
      <c r="G6630" s="13">
        <v>1775</v>
      </c>
      <c r="I6630" t="s">
        <v>189</v>
      </c>
      <c r="J6630" t="s">
        <v>892</v>
      </c>
      <c r="K6630" t="s">
        <v>217</v>
      </c>
      <c r="L6630">
        <v>3600009408</v>
      </c>
    </row>
    <row r="6631" spans="3:12">
      <c r="C6631">
        <v>2100300025</v>
      </c>
      <c r="D6631">
        <v>6426000</v>
      </c>
      <c r="E6631" t="s">
        <v>188</v>
      </c>
      <c r="F6631">
        <v>5212010199</v>
      </c>
      <c r="G6631">
        <v>40</v>
      </c>
      <c r="I6631" t="s">
        <v>189</v>
      </c>
      <c r="J6631" t="s">
        <v>912</v>
      </c>
      <c r="K6631" t="s">
        <v>217</v>
      </c>
      <c r="L6631">
        <v>3600001027</v>
      </c>
    </row>
    <row r="6632" spans="3:12">
      <c r="C6632">
        <v>2100300025</v>
      </c>
      <c r="D6632">
        <v>6426000</v>
      </c>
      <c r="E6632" t="s">
        <v>188</v>
      </c>
      <c r="F6632">
        <v>5212010199</v>
      </c>
      <c r="G6632" s="13">
        <v>1809800</v>
      </c>
      <c r="I6632" t="s">
        <v>189</v>
      </c>
      <c r="J6632" t="s">
        <v>929</v>
      </c>
      <c r="K6632" t="s">
        <v>217</v>
      </c>
      <c r="L6632">
        <v>3600022258</v>
      </c>
    </row>
    <row r="6633" spans="3:12">
      <c r="C6633">
        <v>2100300025</v>
      </c>
      <c r="D6633">
        <v>6426000</v>
      </c>
      <c r="E6633" t="s">
        <v>188</v>
      </c>
      <c r="F6633">
        <v>5212010199</v>
      </c>
      <c r="G6633" s="13">
        <v>9265000</v>
      </c>
      <c r="I6633" t="s">
        <v>189</v>
      </c>
      <c r="J6633" t="s">
        <v>937</v>
      </c>
      <c r="K6633" t="s">
        <v>217</v>
      </c>
      <c r="L6633">
        <v>3600025676</v>
      </c>
    </row>
    <row r="6634" spans="3:12">
      <c r="C6634">
        <v>2100300025</v>
      </c>
      <c r="D6634">
        <v>6426000</v>
      </c>
      <c r="E6634" t="s">
        <v>188</v>
      </c>
      <c r="F6634">
        <v>5212010199</v>
      </c>
      <c r="G6634" s="13">
        <v>20311</v>
      </c>
      <c r="I6634" t="s">
        <v>189</v>
      </c>
      <c r="J6634" t="s">
        <v>942</v>
      </c>
      <c r="K6634" t="s">
        <v>217</v>
      </c>
      <c r="L6634">
        <v>3600026819</v>
      </c>
    </row>
    <row r="6635" spans="3:12">
      <c r="C6635">
        <v>2100300025</v>
      </c>
      <c r="D6635">
        <v>6426000</v>
      </c>
      <c r="E6635" t="s">
        <v>188</v>
      </c>
      <c r="F6635">
        <v>5212010199</v>
      </c>
      <c r="G6635">
        <v>300</v>
      </c>
      <c r="I6635" t="s">
        <v>189</v>
      </c>
      <c r="J6635" t="s">
        <v>957</v>
      </c>
      <c r="K6635" t="s">
        <v>217</v>
      </c>
      <c r="L6635">
        <v>3600030766</v>
      </c>
    </row>
    <row r="6636" spans="3:12">
      <c r="C6636">
        <v>2100300025</v>
      </c>
      <c r="D6636">
        <v>6426000</v>
      </c>
      <c r="E6636" t="s">
        <v>188</v>
      </c>
      <c r="F6636">
        <v>5212010199</v>
      </c>
      <c r="G6636">
        <v>60</v>
      </c>
      <c r="I6636" t="s">
        <v>189</v>
      </c>
      <c r="J6636" t="s">
        <v>965</v>
      </c>
      <c r="K6636" t="s">
        <v>217</v>
      </c>
      <c r="L6636">
        <v>3600033808</v>
      </c>
    </row>
    <row r="6637" spans="3:12">
      <c r="C6637">
        <v>2100300025</v>
      </c>
      <c r="D6637">
        <v>6426000</v>
      </c>
      <c r="E6637" t="s">
        <v>188</v>
      </c>
      <c r="F6637">
        <v>5101010108</v>
      </c>
      <c r="G6637" s="13">
        <v>-1420053.75</v>
      </c>
      <c r="I6637" t="s">
        <v>146</v>
      </c>
      <c r="J6637" t="s">
        <v>865</v>
      </c>
      <c r="K6637" t="s">
        <v>51</v>
      </c>
      <c r="L6637">
        <v>3900000148</v>
      </c>
    </row>
    <row r="6638" spans="3:12">
      <c r="C6638">
        <v>2100300025</v>
      </c>
      <c r="D6638">
        <v>6426000</v>
      </c>
      <c r="E6638" t="s">
        <v>188</v>
      </c>
      <c r="F6638">
        <v>5101010199</v>
      </c>
      <c r="G6638" s="13">
        <v>-1256286</v>
      </c>
      <c r="I6638" t="s">
        <v>146</v>
      </c>
      <c r="J6638" t="s">
        <v>946</v>
      </c>
      <c r="K6638" t="s">
        <v>190</v>
      </c>
      <c r="L6638">
        <v>3900001862</v>
      </c>
    </row>
    <row r="6639" spans="3:12">
      <c r="C6639">
        <v>2100300025</v>
      </c>
      <c r="D6639">
        <v>6426000</v>
      </c>
      <c r="E6639" t="s">
        <v>188</v>
      </c>
      <c r="F6639">
        <v>5101020106</v>
      </c>
      <c r="G6639" s="13">
        <v>-60032</v>
      </c>
      <c r="I6639" t="s">
        <v>146</v>
      </c>
      <c r="J6639" t="s">
        <v>946</v>
      </c>
      <c r="K6639" t="s">
        <v>148</v>
      </c>
      <c r="L6639">
        <v>3900001862</v>
      </c>
    </row>
    <row r="6640" spans="3:12">
      <c r="C6640">
        <v>2100300025</v>
      </c>
      <c r="D6640">
        <v>6426000</v>
      </c>
      <c r="E6640" t="s">
        <v>188</v>
      </c>
      <c r="F6640">
        <v>5101020112</v>
      </c>
      <c r="G6640" s="13">
        <v>-17201.52</v>
      </c>
      <c r="I6640" t="s">
        <v>146</v>
      </c>
      <c r="J6640" t="s">
        <v>946</v>
      </c>
      <c r="K6640" t="s">
        <v>191</v>
      </c>
      <c r="L6640">
        <v>3900001862</v>
      </c>
    </row>
    <row r="6641" spans="3:14">
      <c r="C6641">
        <v>2100300025</v>
      </c>
      <c r="D6641">
        <v>6426000</v>
      </c>
      <c r="E6641" t="s">
        <v>188</v>
      </c>
      <c r="F6641">
        <v>5104010104</v>
      </c>
      <c r="G6641" s="13">
        <v>-4800</v>
      </c>
      <c r="I6641" t="s">
        <v>146</v>
      </c>
      <c r="J6641" t="s">
        <v>899</v>
      </c>
      <c r="K6641" t="s">
        <v>69</v>
      </c>
      <c r="L6641">
        <v>3900000802</v>
      </c>
    </row>
    <row r="6642" spans="3:14">
      <c r="C6642">
        <v>2100300025</v>
      </c>
      <c r="D6642">
        <v>6426000</v>
      </c>
      <c r="E6642" t="s">
        <v>188</v>
      </c>
      <c r="F6642">
        <v>5104010104</v>
      </c>
      <c r="G6642" s="13">
        <v>-3740</v>
      </c>
      <c r="I6642" t="s">
        <v>146</v>
      </c>
      <c r="J6642" t="s">
        <v>822</v>
      </c>
      <c r="K6642" t="s">
        <v>69</v>
      </c>
      <c r="L6642">
        <v>3900000631</v>
      </c>
    </row>
    <row r="6643" spans="3:14">
      <c r="C6643">
        <v>2100300025</v>
      </c>
      <c r="D6643">
        <v>6426000</v>
      </c>
      <c r="E6643" t="s">
        <v>188</v>
      </c>
      <c r="F6643">
        <v>5104010104</v>
      </c>
      <c r="G6643" s="13">
        <v>-8996</v>
      </c>
      <c r="I6643" t="s">
        <v>146</v>
      </c>
      <c r="J6643" t="s">
        <v>801</v>
      </c>
      <c r="K6643" t="s">
        <v>69</v>
      </c>
      <c r="L6643">
        <v>9000601072</v>
      </c>
      <c r="N6643" t="s">
        <v>1031</v>
      </c>
    </row>
    <row r="6644" spans="3:14">
      <c r="C6644">
        <v>2100300025</v>
      </c>
      <c r="D6644">
        <v>6426000</v>
      </c>
      <c r="E6644" t="s">
        <v>188</v>
      </c>
      <c r="F6644">
        <v>5104010107</v>
      </c>
      <c r="G6644" s="13">
        <v>-3800</v>
      </c>
      <c r="I6644" t="s">
        <v>146</v>
      </c>
      <c r="J6644" t="s">
        <v>814</v>
      </c>
      <c r="K6644" t="s">
        <v>154</v>
      </c>
      <c r="L6644">
        <v>3900003205</v>
      </c>
    </row>
    <row r="6645" spans="3:14">
      <c r="C6645">
        <v>2100300025</v>
      </c>
      <c r="D6645">
        <v>6426000</v>
      </c>
      <c r="E6645" t="s">
        <v>188</v>
      </c>
      <c r="F6645">
        <v>5104010107</v>
      </c>
      <c r="G6645" s="13">
        <v>-1600</v>
      </c>
      <c r="I6645" t="s">
        <v>146</v>
      </c>
      <c r="J6645" t="s">
        <v>801</v>
      </c>
      <c r="K6645" t="s">
        <v>154</v>
      </c>
      <c r="L6645">
        <v>3900005701</v>
      </c>
    </row>
    <row r="6646" spans="3:14">
      <c r="C6646">
        <v>2100300025</v>
      </c>
      <c r="D6646">
        <v>6426000</v>
      </c>
      <c r="E6646" t="s">
        <v>188</v>
      </c>
      <c r="F6646">
        <v>5104010107</v>
      </c>
      <c r="G6646">
        <v>-950</v>
      </c>
      <c r="I6646" t="s">
        <v>146</v>
      </c>
      <c r="J6646" t="s">
        <v>862</v>
      </c>
      <c r="K6646" t="s">
        <v>154</v>
      </c>
      <c r="L6646">
        <v>3900006430</v>
      </c>
    </row>
    <row r="6647" spans="3:14">
      <c r="C6647">
        <v>2100300025</v>
      </c>
      <c r="D6647">
        <v>6426000</v>
      </c>
      <c r="E6647" t="s">
        <v>188</v>
      </c>
      <c r="F6647">
        <v>5104020105</v>
      </c>
      <c r="G6647" s="13">
        <v>-11703.68</v>
      </c>
      <c r="I6647" t="s">
        <v>146</v>
      </c>
      <c r="J6647" t="s">
        <v>555</v>
      </c>
      <c r="K6647" t="s">
        <v>83</v>
      </c>
      <c r="L6647">
        <v>3900001817</v>
      </c>
    </row>
    <row r="6648" spans="3:14">
      <c r="C6648">
        <v>2100300025</v>
      </c>
      <c r="D6648">
        <v>6426000</v>
      </c>
      <c r="E6648" t="s">
        <v>188</v>
      </c>
      <c r="F6648">
        <v>5104020105</v>
      </c>
      <c r="G6648" s="13">
        <v>-1611.42</v>
      </c>
      <c r="I6648" t="s">
        <v>146</v>
      </c>
      <c r="J6648" t="s">
        <v>978</v>
      </c>
      <c r="K6648" t="s">
        <v>83</v>
      </c>
      <c r="L6648">
        <v>3900009514</v>
      </c>
    </row>
    <row r="6649" spans="3:14">
      <c r="C6649">
        <v>2100300025</v>
      </c>
      <c r="D6649">
        <v>6426000</v>
      </c>
      <c r="E6649" t="s">
        <v>188</v>
      </c>
      <c r="F6649">
        <v>5104040102</v>
      </c>
      <c r="G6649" s="13">
        <v>-63120</v>
      </c>
      <c r="I6649" t="s">
        <v>146</v>
      </c>
      <c r="J6649" t="s">
        <v>865</v>
      </c>
      <c r="K6649" t="s">
        <v>159</v>
      </c>
      <c r="L6649">
        <v>3900000148</v>
      </c>
    </row>
    <row r="6650" spans="3:14">
      <c r="C6650">
        <v>2100300025</v>
      </c>
      <c r="D6650">
        <v>6411240</v>
      </c>
      <c r="E6650" t="s">
        <v>736</v>
      </c>
      <c r="F6650">
        <v>5104020103</v>
      </c>
      <c r="G6650" s="13">
        <v>-79264.960000000006</v>
      </c>
      <c r="H6650" t="s">
        <v>1033</v>
      </c>
      <c r="I6650" t="s">
        <v>146</v>
      </c>
      <c r="J6650" t="s">
        <v>557</v>
      </c>
      <c r="K6650" t="s">
        <v>157</v>
      </c>
      <c r="L6650">
        <v>3900009504</v>
      </c>
    </row>
    <row r="6651" spans="3:14">
      <c r="C6651">
        <v>2100300025</v>
      </c>
      <c r="D6651">
        <v>6431000</v>
      </c>
      <c r="E6651" t="s">
        <v>188</v>
      </c>
      <c r="F6651">
        <v>5104010115</v>
      </c>
      <c r="G6651">
        <v>39.25</v>
      </c>
      <c r="I6651" t="s">
        <v>142</v>
      </c>
      <c r="J6651" t="s">
        <v>789</v>
      </c>
      <c r="K6651" t="s">
        <v>155</v>
      </c>
      <c r="L6651">
        <v>4700001964</v>
      </c>
      <c r="M6651" t="s">
        <v>1048</v>
      </c>
    </row>
    <row r="6652" spans="3:14">
      <c r="C6652">
        <v>2100300025</v>
      </c>
      <c r="D6652">
        <v>6431000</v>
      </c>
      <c r="E6652" t="s">
        <v>188</v>
      </c>
      <c r="F6652">
        <v>5104010115</v>
      </c>
      <c r="G6652">
        <v>94.5</v>
      </c>
      <c r="I6652" t="s">
        <v>142</v>
      </c>
      <c r="J6652" t="s">
        <v>875</v>
      </c>
      <c r="K6652" t="s">
        <v>155</v>
      </c>
      <c r="L6652">
        <v>4700000363</v>
      </c>
      <c r="M6652" t="s">
        <v>1049</v>
      </c>
    </row>
    <row r="6653" spans="3:14">
      <c r="C6653">
        <v>2100300025</v>
      </c>
      <c r="D6653">
        <v>6431000</v>
      </c>
      <c r="E6653" t="s">
        <v>188</v>
      </c>
      <c r="F6653">
        <v>5104010115</v>
      </c>
      <c r="G6653">
        <v>311.73</v>
      </c>
      <c r="I6653" t="s">
        <v>142</v>
      </c>
      <c r="J6653" t="s">
        <v>807</v>
      </c>
      <c r="K6653" t="s">
        <v>155</v>
      </c>
      <c r="L6653">
        <v>4700003673</v>
      </c>
      <c r="M6653" t="s">
        <v>1050</v>
      </c>
    </row>
    <row r="6654" spans="3:14">
      <c r="C6654">
        <v>2100300025</v>
      </c>
      <c r="D6654">
        <v>6431000</v>
      </c>
      <c r="E6654" t="s">
        <v>188</v>
      </c>
      <c r="F6654">
        <v>5104010115</v>
      </c>
      <c r="G6654">
        <v>82.82</v>
      </c>
      <c r="I6654" t="s">
        <v>142</v>
      </c>
      <c r="J6654" t="s">
        <v>995</v>
      </c>
      <c r="K6654" t="s">
        <v>155</v>
      </c>
      <c r="L6654">
        <v>4700006836</v>
      </c>
      <c r="M6654" t="s">
        <v>1051</v>
      </c>
    </row>
    <row r="6655" spans="3:14">
      <c r="C6655">
        <v>2100300025</v>
      </c>
      <c r="D6655">
        <v>6431000</v>
      </c>
      <c r="E6655" t="s">
        <v>188</v>
      </c>
      <c r="F6655">
        <v>5104010115</v>
      </c>
      <c r="G6655" s="13">
        <v>1402.48</v>
      </c>
      <c r="I6655" t="s">
        <v>142</v>
      </c>
      <c r="J6655" t="s">
        <v>1052</v>
      </c>
      <c r="K6655" t="s">
        <v>155</v>
      </c>
      <c r="L6655">
        <v>4700000303</v>
      </c>
      <c r="M6655" t="s">
        <v>1053</v>
      </c>
    </row>
    <row r="6656" spans="3:14">
      <c r="C6656">
        <v>2100300025</v>
      </c>
      <c r="D6656">
        <v>6431000</v>
      </c>
      <c r="E6656" t="s">
        <v>188</v>
      </c>
      <c r="F6656">
        <v>5104010115</v>
      </c>
      <c r="G6656">
        <v>38.049999999999997</v>
      </c>
      <c r="I6656" t="s">
        <v>142</v>
      </c>
      <c r="J6656" t="s">
        <v>1052</v>
      </c>
      <c r="K6656" t="s">
        <v>155</v>
      </c>
      <c r="L6656">
        <v>4700000304</v>
      </c>
      <c r="M6656" t="s">
        <v>1054</v>
      </c>
    </row>
    <row r="6657" spans="3:13">
      <c r="C6657">
        <v>2100300025</v>
      </c>
      <c r="D6657">
        <v>6431000</v>
      </c>
      <c r="E6657" t="s">
        <v>188</v>
      </c>
      <c r="F6657">
        <v>5104010115</v>
      </c>
      <c r="G6657" s="13">
        <v>1860.05</v>
      </c>
      <c r="I6657" t="s">
        <v>142</v>
      </c>
      <c r="J6657" t="s">
        <v>880</v>
      </c>
      <c r="K6657" t="s">
        <v>155</v>
      </c>
      <c r="L6657">
        <v>4700000116</v>
      </c>
      <c r="M6657" t="s">
        <v>1055</v>
      </c>
    </row>
    <row r="6658" spans="3:13">
      <c r="C6658">
        <v>2100300025</v>
      </c>
      <c r="D6658">
        <v>6431000</v>
      </c>
      <c r="E6658" t="s">
        <v>188</v>
      </c>
      <c r="F6658">
        <v>5104010115</v>
      </c>
      <c r="G6658">
        <v>24.57</v>
      </c>
      <c r="I6658" t="s">
        <v>142</v>
      </c>
      <c r="J6658" t="s">
        <v>880</v>
      </c>
      <c r="K6658" t="s">
        <v>155</v>
      </c>
      <c r="L6658">
        <v>4700000117</v>
      </c>
      <c r="M6658" t="s">
        <v>1056</v>
      </c>
    </row>
    <row r="6659" spans="3:13">
      <c r="C6659">
        <v>2100300025</v>
      </c>
      <c r="D6659">
        <v>6431000</v>
      </c>
      <c r="E6659" t="s">
        <v>188</v>
      </c>
      <c r="F6659">
        <v>5104010115</v>
      </c>
      <c r="G6659" s="13">
        <v>1168.04</v>
      </c>
      <c r="I6659" t="s">
        <v>142</v>
      </c>
      <c r="J6659" t="s">
        <v>994</v>
      </c>
      <c r="K6659" t="s">
        <v>155</v>
      </c>
      <c r="L6659">
        <v>4700001222</v>
      </c>
      <c r="M6659" t="s">
        <v>1057</v>
      </c>
    </row>
    <row r="6660" spans="3:13">
      <c r="C6660">
        <v>2100300025</v>
      </c>
      <c r="D6660">
        <v>6431000</v>
      </c>
      <c r="E6660" t="s">
        <v>188</v>
      </c>
      <c r="F6660">
        <v>5104010115</v>
      </c>
      <c r="G6660">
        <v>56.17</v>
      </c>
      <c r="I6660" t="s">
        <v>142</v>
      </c>
      <c r="J6660" t="s">
        <v>787</v>
      </c>
      <c r="K6660" t="s">
        <v>155</v>
      </c>
      <c r="L6660">
        <v>4700003521</v>
      </c>
      <c r="M6660" t="s">
        <v>1058</v>
      </c>
    </row>
    <row r="6661" spans="3:13">
      <c r="C6661">
        <v>2100300025</v>
      </c>
      <c r="D6661">
        <v>6431000</v>
      </c>
      <c r="E6661" t="s">
        <v>188</v>
      </c>
      <c r="F6661">
        <v>5104010115</v>
      </c>
      <c r="G6661" s="13">
        <v>2021.39</v>
      </c>
      <c r="I6661" t="s">
        <v>142</v>
      </c>
      <c r="J6661" t="s">
        <v>1059</v>
      </c>
      <c r="K6661" t="s">
        <v>155</v>
      </c>
      <c r="L6661">
        <v>4700000203</v>
      </c>
      <c r="M6661" t="s">
        <v>1060</v>
      </c>
    </row>
    <row r="6662" spans="3:13">
      <c r="C6662">
        <v>2100300025</v>
      </c>
      <c r="D6662">
        <v>6431000</v>
      </c>
      <c r="E6662" t="s">
        <v>188</v>
      </c>
      <c r="F6662">
        <v>5104010115</v>
      </c>
      <c r="G6662">
        <v>67.95</v>
      </c>
      <c r="I6662" t="s">
        <v>142</v>
      </c>
      <c r="J6662" t="s">
        <v>995</v>
      </c>
      <c r="K6662" t="s">
        <v>155</v>
      </c>
      <c r="L6662">
        <v>4700006902</v>
      </c>
      <c r="M6662" t="s">
        <v>1061</v>
      </c>
    </row>
    <row r="6663" spans="3:13">
      <c r="C6663">
        <v>2100300025</v>
      </c>
      <c r="D6663">
        <v>6431000</v>
      </c>
      <c r="E6663" t="s">
        <v>188</v>
      </c>
      <c r="F6663">
        <v>5104010115</v>
      </c>
      <c r="G6663">
        <v>614.36</v>
      </c>
      <c r="I6663" t="s">
        <v>142</v>
      </c>
      <c r="J6663" t="s">
        <v>889</v>
      </c>
      <c r="K6663" t="s">
        <v>155</v>
      </c>
      <c r="L6663">
        <v>4700006884</v>
      </c>
      <c r="M6663" t="s">
        <v>1062</v>
      </c>
    </row>
    <row r="6664" spans="3:13">
      <c r="C6664">
        <v>2100300025</v>
      </c>
      <c r="D6664">
        <v>6431000</v>
      </c>
      <c r="E6664" t="s">
        <v>188</v>
      </c>
      <c r="F6664">
        <v>5104010115</v>
      </c>
      <c r="G6664">
        <v>238.2</v>
      </c>
      <c r="I6664" t="s">
        <v>142</v>
      </c>
      <c r="J6664" t="s">
        <v>890</v>
      </c>
      <c r="K6664" t="s">
        <v>155</v>
      </c>
      <c r="L6664">
        <v>4700006866</v>
      </c>
      <c r="M6664" t="s">
        <v>1063</v>
      </c>
    </row>
    <row r="6665" spans="3:13">
      <c r="C6665">
        <v>2100300025</v>
      </c>
      <c r="D6665">
        <v>6431000</v>
      </c>
      <c r="E6665" t="s">
        <v>188</v>
      </c>
      <c r="F6665">
        <v>5104010115</v>
      </c>
      <c r="G6665" s="13">
        <v>2686.99</v>
      </c>
      <c r="I6665" t="s">
        <v>142</v>
      </c>
      <c r="J6665" t="s">
        <v>996</v>
      </c>
      <c r="K6665" t="s">
        <v>155</v>
      </c>
      <c r="L6665">
        <v>4700007150</v>
      </c>
      <c r="M6665" t="s">
        <v>1064</v>
      </c>
    </row>
    <row r="6666" spans="3:13">
      <c r="C6666">
        <v>2100300025</v>
      </c>
      <c r="D6666">
        <v>6431000</v>
      </c>
      <c r="E6666" t="s">
        <v>188</v>
      </c>
      <c r="F6666">
        <v>5104010115</v>
      </c>
      <c r="G6666" s="13">
        <v>1003.74</v>
      </c>
      <c r="I6666" t="s">
        <v>142</v>
      </c>
      <c r="J6666" t="s">
        <v>891</v>
      </c>
      <c r="K6666" t="s">
        <v>155</v>
      </c>
      <c r="L6666">
        <v>4700007510</v>
      </c>
      <c r="M6666" t="s">
        <v>1065</v>
      </c>
    </row>
    <row r="6667" spans="3:13">
      <c r="C6667">
        <v>2100300025</v>
      </c>
      <c r="D6667">
        <v>6431000</v>
      </c>
      <c r="E6667" t="s">
        <v>188</v>
      </c>
      <c r="F6667">
        <v>5104010115</v>
      </c>
      <c r="G6667">
        <v>339.73</v>
      </c>
      <c r="I6667" t="s">
        <v>142</v>
      </c>
      <c r="J6667" t="s">
        <v>897</v>
      </c>
      <c r="K6667" t="s">
        <v>155</v>
      </c>
      <c r="L6667">
        <v>4700009255</v>
      </c>
      <c r="M6667" t="s">
        <v>1066</v>
      </c>
    </row>
    <row r="6668" spans="3:13">
      <c r="C6668">
        <v>2100300025</v>
      </c>
      <c r="D6668">
        <v>6431000</v>
      </c>
      <c r="E6668" t="s">
        <v>188</v>
      </c>
      <c r="F6668">
        <v>5104010115</v>
      </c>
      <c r="G6668">
        <v>963.76</v>
      </c>
      <c r="I6668" t="s">
        <v>142</v>
      </c>
      <c r="J6668" t="s">
        <v>892</v>
      </c>
      <c r="K6668" t="s">
        <v>155</v>
      </c>
      <c r="L6668">
        <v>4700007876</v>
      </c>
      <c r="M6668" t="s">
        <v>1067</v>
      </c>
    </row>
    <row r="6669" spans="3:13">
      <c r="C6669">
        <v>2100300025</v>
      </c>
      <c r="D6669">
        <v>6431000</v>
      </c>
      <c r="E6669" t="s">
        <v>188</v>
      </c>
      <c r="F6669">
        <v>5104010115</v>
      </c>
      <c r="G6669">
        <v>149.77000000000001</v>
      </c>
      <c r="I6669" t="s">
        <v>142</v>
      </c>
      <c r="J6669" t="s">
        <v>1068</v>
      </c>
      <c r="K6669" t="s">
        <v>155</v>
      </c>
      <c r="L6669">
        <v>4700000242</v>
      </c>
      <c r="M6669" t="s">
        <v>1069</v>
      </c>
    </row>
    <row r="6670" spans="3:13">
      <c r="C6670">
        <v>2100300025</v>
      </c>
      <c r="D6670">
        <v>6431000</v>
      </c>
      <c r="E6670" t="s">
        <v>188</v>
      </c>
      <c r="F6670">
        <v>5104010115</v>
      </c>
      <c r="G6670">
        <v>77.58</v>
      </c>
      <c r="I6670" t="s">
        <v>142</v>
      </c>
      <c r="J6670" t="s">
        <v>877</v>
      </c>
      <c r="K6670" t="s">
        <v>155</v>
      </c>
      <c r="L6670">
        <v>4700000830</v>
      </c>
      <c r="M6670" t="s">
        <v>1070</v>
      </c>
    </row>
    <row r="6671" spans="3:13">
      <c r="C6671">
        <v>2100300025</v>
      </c>
      <c r="D6671">
        <v>6431000</v>
      </c>
      <c r="E6671" t="s">
        <v>188</v>
      </c>
      <c r="F6671">
        <v>5104010115</v>
      </c>
      <c r="G6671">
        <v>614.57000000000005</v>
      </c>
      <c r="I6671" t="s">
        <v>142</v>
      </c>
      <c r="J6671" t="s">
        <v>877</v>
      </c>
      <c r="K6671" t="s">
        <v>155</v>
      </c>
      <c r="L6671">
        <v>4700000831</v>
      </c>
      <c r="M6671" t="s">
        <v>1071</v>
      </c>
    </row>
    <row r="6672" spans="3:13">
      <c r="C6672">
        <v>2100300025</v>
      </c>
      <c r="D6672">
        <v>6431000</v>
      </c>
      <c r="E6672" t="s">
        <v>188</v>
      </c>
      <c r="F6672">
        <v>5104010115</v>
      </c>
      <c r="G6672">
        <v>642.92999999999995</v>
      </c>
      <c r="I6672" t="s">
        <v>142</v>
      </c>
      <c r="J6672" t="s">
        <v>803</v>
      </c>
      <c r="K6672" t="s">
        <v>155</v>
      </c>
      <c r="L6672">
        <v>4700002923</v>
      </c>
      <c r="M6672" t="s">
        <v>1072</v>
      </c>
    </row>
    <row r="6673" spans="3:13">
      <c r="C6673">
        <v>2100300025</v>
      </c>
      <c r="D6673">
        <v>6431000</v>
      </c>
      <c r="E6673" t="s">
        <v>188</v>
      </c>
      <c r="F6673">
        <v>5104010115</v>
      </c>
      <c r="G6673">
        <v>127.64</v>
      </c>
      <c r="I6673" t="s">
        <v>142</v>
      </c>
      <c r="J6673" t="s">
        <v>803</v>
      </c>
      <c r="K6673" t="s">
        <v>155</v>
      </c>
      <c r="L6673">
        <v>4700000075</v>
      </c>
      <c r="M6673" t="s">
        <v>1073</v>
      </c>
    </row>
    <row r="6674" spans="3:13">
      <c r="C6674">
        <v>2100300025</v>
      </c>
      <c r="D6674">
        <v>6431000</v>
      </c>
      <c r="E6674" t="s">
        <v>188</v>
      </c>
      <c r="F6674">
        <v>5104010115</v>
      </c>
      <c r="G6674">
        <v>319.93</v>
      </c>
      <c r="I6674" t="s">
        <v>142</v>
      </c>
      <c r="J6674" t="s">
        <v>1074</v>
      </c>
      <c r="K6674" t="s">
        <v>155</v>
      </c>
      <c r="L6674">
        <v>4700000777</v>
      </c>
      <c r="M6674" t="s">
        <v>1075</v>
      </c>
    </row>
    <row r="6675" spans="3:13">
      <c r="C6675">
        <v>2100300025</v>
      </c>
      <c r="D6675">
        <v>6431000</v>
      </c>
      <c r="E6675" t="s">
        <v>188</v>
      </c>
      <c r="F6675">
        <v>5104010115</v>
      </c>
      <c r="G6675">
        <v>145.66</v>
      </c>
      <c r="I6675" t="s">
        <v>142</v>
      </c>
      <c r="J6675" t="s">
        <v>1074</v>
      </c>
      <c r="K6675" t="s">
        <v>155</v>
      </c>
      <c r="L6675">
        <v>4700000778</v>
      </c>
      <c r="M6675" t="s">
        <v>1076</v>
      </c>
    </row>
    <row r="6676" spans="3:13">
      <c r="C6676">
        <v>2100300025</v>
      </c>
      <c r="D6676">
        <v>6431000</v>
      </c>
      <c r="E6676" t="s">
        <v>188</v>
      </c>
      <c r="F6676">
        <v>5104010115</v>
      </c>
      <c r="G6676">
        <v>373.89</v>
      </c>
      <c r="I6676" t="s">
        <v>142</v>
      </c>
      <c r="J6676" t="s">
        <v>878</v>
      </c>
      <c r="K6676" t="s">
        <v>155</v>
      </c>
      <c r="L6676">
        <v>4700000756</v>
      </c>
      <c r="M6676" t="s">
        <v>1077</v>
      </c>
    </row>
    <row r="6677" spans="3:13">
      <c r="C6677">
        <v>2100300025</v>
      </c>
      <c r="D6677">
        <v>6431000</v>
      </c>
      <c r="E6677" t="s">
        <v>188</v>
      </c>
      <c r="F6677">
        <v>5104010115</v>
      </c>
      <c r="G6677">
        <v>135.1</v>
      </c>
      <c r="I6677" t="s">
        <v>142</v>
      </c>
      <c r="J6677" t="s">
        <v>878</v>
      </c>
      <c r="K6677" t="s">
        <v>155</v>
      </c>
      <c r="L6677">
        <v>4700002482</v>
      </c>
      <c r="M6677" t="s">
        <v>1078</v>
      </c>
    </row>
    <row r="6678" spans="3:13">
      <c r="C6678">
        <v>2100300025</v>
      </c>
      <c r="D6678">
        <v>6431000</v>
      </c>
      <c r="E6678" t="s">
        <v>188</v>
      </c>
      <c r="F6678">
        <v>5104010115</v>
      </c>
      <c r="G6678">
        <v>173.55</v>
      </c>
      <c r="I6678" t="s">
        <v>142</v>
      </c>
      <c r="J6678" t="s">
        <v>804</v>
      </c>
      <c r="K6678" t="s">
        <v>155</v>
      </c>
      <c r="L6678">
        <v>4700003057</v>
      </c>
      <c r="M6678" t="s">
        <v>1079</v>
      </c>
    </row>
    <row r="6679" spans="3:13">
      <c r="C6679">
        <v>2100300025</v>
      </c>
      <c r="D6679">
        <v>6431000</v>
      </c>
      <c r="E6679" t="s">
        <v>188</v>
      </c>
      <c r="F6679">
        <v>5104010115</v>
      </c>
      <c r="G6679" s="13">
        <v>1447.36</v>
      </c>
      <c r="I6679" t="s">
        <v>142</v>
      </c>
      <c r="J6679" t="s">
        <v>804</v>
      </c>
      <c r="K6679" t="s">
        <v>155</v>
      </c>
      <c r="L6679">
        <v>4700003299</v>
      </c>
      <c r="M6679" t="s">
        <v>1080</v>
      </c>
    </row>
    <row r="6680" spans="3:13">
      <c r="C6680">
        <v>2100300025</v>
      </c>
      <c r="D6680">
        <v>6431000</v>
      </c>
      <c r="E6680" t="s">
        <v>188</v>
      </c>
      <c r="F6680">
        <v>5104010115</v>
      </c>
      <c r="G6680">
        <v>30.74</v>
      </c>
      <c r="I6680" t="s">
        <v>142</v>
      </c>
      <c r="J6680" t="s">
        <v>1068</v>
      </c>
      <c r="K6680" t="s">
        <v>155</v>
      </c>
      <c r="L6680">
        <v>4700000156</v>
      </c>
    </row>
    <row r="6681" spans="3:13">
      <c r="C6681">
        <v>2100300025</v>
      </c>
      <c r="D6681">
        <v>6431000</v>
      </c>
      <c r="E6681" t="s">
        <v>188</v>
      </c>
      <c r="F6681">
        <v>5104010115</v>
      </c>
      <c r="G6681">
        <v>518.22</v>
      </c>
      <c r="I6681" t="s">
        <v>142</v>
      </c>
      <c r="J6681" t="s">
        <v>789</v>
      </c>
      <c r="K6681" t="s">
        <v>155</v>
      </c>
      <c r="L6681">
        <v>4700000522</v>
      </c>
      <c r="M6681" t="s">
        <v>1081</v>
      </c>
    </row>
    <row r="6682" spans="3:13">
      <c r="C6682">
        <v>2100300025</v>
      </c>
      <c r="D6682">
        <v>6431000</v>
      </c>
      <c r="E6682" t="s">
        <v>188</v>
      </c>
      <c r="F6682">
        <v>5104010115</v>
      </c>
      <c r="G6682" s="13">
        <v>1302.4000000000001</v>
      </c>
      <c r="I6682" t="s">
        <v>142</v>
      </c>
      <c r="J6682" t="s">
        <v>805</v>
      </c>
      <c r="K6682" t="s">
        <v>155</v>
      </c>
      <c r="L6682">
        <v>4700003599</v>
      </c>
      <c r="M6682" t="s">
        <v>1082</v>
      </c>
    </row>
    <row r="6683" spans="3:13">
      <c r="C6683">
        <v>2100300025</v>
      </c>
      <c r="D6683">
        <v>6431000</v>
      </c>
      <c r="E6683" t="s">
        <v>188</v>
      </c>
      <c r="F6683">
        <v>5104010115</v>
      </c>
      <c r="G6683">
        <v>185.48</v>
      </c>
      <c r="I6683" t="s">
        <v>142</v>
      </c>
      <c r="J6683" t="s">
        <v>805</v>
      </c>
      <c r="K6683" t="s">
        <v>155</v>
      </c>
      <c r="L6683">
        <v>4700004701</v>
      </c>
      <c r="M6683" t="s">
        <v>1083</v>
      </c>
    </row>
    <row r="6684" spans="3:13">
      <c r="C6684">
        <v>2100300025</v>
      </c>
      <c r="D6684">
        <v>6431000</v>
      </c>
      <c r="E6684" t="s">
        <v>188</v>
      </c>
      <c r="F6684">
        <v>5104010115</v>
      </c>
      <c r="G6684" s="13">
        <v>3548.48</v>
      </c>
      <c r="I6684" t="s">
        <v>142</v>
      </c>
      <c r="J6684" t="s">
        <v>879</v>
      </c>
      <c r="K6684" t="s">
        <v>155</v>
      </c>
      <c r="L6684">
        <v>4700002445</v>
      </c>
      <c r="M6684" t="s">
        <v>1084</v>
      </c>
    </row>
    <row r="6685" spans="3:13">
      <c r="C6685">
        <v>2100300025</v>
      </c>
      <c r="D6685">
        <v>6431000</v>
      </c>
      <c r="E6685" t="s">
        <v>188</v>
      </c>
      <c r="F6685">
        <v>5104010115</v>
      </c>
      <c r="G6685">
        <v>403.47</v>
      </c>
      <c r="I6685" t="s">
        <v>142</v>
      </c>
      <c r="J6685" t="s">
        <v>879</v>
      </c>
      <c r="K6685" t="s">
        <v>155</v>
      </c>
      <c r="L6685">
        <v>4700000886</v>
      </c>
      <c r="M6685" t="s">
        <v>1085</v>
      </c>
    </row>
    <row r="6686" spans="3:13">
      <c r="C6686">
        <v>2100300025</v>
      </c>
      <c r="D6686">
        <v>6431000</v>
      </c>
      <c r="E6686" t="s">
        <v>188</v>
      </c>
      <c r="F6686">
        <v>5104010115</v>
      </c>
      <c r="G6686">
        <v>461.99</v>
      </c>
      <c r="I6686" t="s">
        <v>142</v>
      </c>
      <c r="J6686" t="s">
        <v>806</v>
      </c>
      <c r="K6686" t="s">
        <v>155</v>
      </c>
      <c r="L6686">
        <v>4700000876</v>
      </c>
      <c r="M6686" t="s">
        <v>1086</v>
      </c>
    </row>
    <row r="6687" spans="3:13">
      <c r="C6687">
        <v>2100300025</v>
      </c>
      <c r="D6687">
        <v>6431000</v>
      </c>
      <c r="E6687" t="s">
        <v>188</v>
      </c>
      <c r="F6687">
        <v>5104010115</v>
      </c>
      <c r="G6687">
        <v>285.67</v>
      </c>
      <c r="I6687" t="s">
        <v>142</v>
      </c>
      <c r="J6687" t="s">
        <v>806</v>
      </c>
      <c r="K6687" t="s">
        <v>155</v>
      </c>
      <c r="L6687">
        <v>4700000877</v>
      </c>
      <c r="M6687" t="s">
        <v>1087</v>
      </c>
    </row>
    <row r="6688" spans="3:13">
      <c r="C6688">
        <v>2100300025</v>
      </c>
      <c r="D6688">
        <v>6431000</v>
      </c>
      <c r="E6688" t="s">
        <v>188</v>
      </c>
      <c r="F6688">
        <v>5104010115</v>
      </c>
      <c r="G6688">
        <v>279.98</v>
      </c>
      <c r="I6688" t="s">
        <v>142</v>
      </c>
      <c r="J6688" t="s">
        <v>994</v>
      </c>
      <c r="K6688" t="s">
        <v>155</v>
      </c>
      <c r="L6688">
        <v>4700003262</v>
      </c>
      <c r="M6688" t="s">
        <v>1088</v>
      </c>
    </row>
    <row r="6689" spans="3:13">
      <c r="C6689">
        <v>2100300025</v>
      </c>
      <c r="D6689">
        <v>6431000</v>
      </c>
      <c r="E6689" t="s">
        <v>188</v>
      </c>
      <c r="F6689">
        <v>5104010115</v>
      </c>
      <c r="G6689" s="13">
        <v>1009.67</v>
      </c>
      <c r="I6689" t="s">
        <v>142</v>
      </c>
      <c r="J6689" t="s">
        <v>881</v>
      </c>
      <c r="K6689" t="s">
        <v>155</v>
      </c>
      <c r="L6689">
        <v>4700000320</v>
      </c>
      <c r="M6689" t="s">
        <v>1089</v>
      </c>
    </row>
    <row r="6690" spans="3:13">
      <c r="C6690">
        <v>2100300025</v>
      </c>
      <c r="D6690">
        <v>6431000</v>
      </c>
      <c r="E6690" t="s">
        <v>188</v>
      </c>
      <c r="F6690">
        <v>5104010115</v>
      </c>
      <c r="G6690">
        <v>78.11</v>
      </c>
      <c r="I6690" t="s">
        <v>142</v>
      </c>
      <c r="J6690" t="s">
        <v>881</v>
      </c>
      <c r="K6690" t="s">
        <v>155</v>
      </c>
      <c r="L6690">
        <v>4700000321</v>
      </c>
      <c r="M6690" t="s">
        <v>1090</v>
      </c>
    </row>
    <row r="6691" spans="3:13">
      <c r="C6691">
        <v>2100300025</v>
      </c>
      <c r="D6691">
        <v>6431000</v>
      </c>
      <c r="E6691" t="s">
        <v>188</v>
      </c>
      <c r="F6691">
        <v>5104010115</v>
      </c>
      <c r="G6691">
        <v>242.91</v>
      </c>
      <c r="I6691" t="s">
        <v>142</v>
      </c>
      <c r="J6691" t="s">
        <v>875</v>
      </c>
      <c r="K6691" t="s">
        <v>155</v>
      </c>
      <c r="L6691">
        <v>4700000728</v>
      </c>
      <c r="M6691" t="s">
        <v>1091</v>
      </c>
    </row>
    <row r="6692" spans="3:13">
      <c r="C6692">
        <v>2100300025</v>
      </c>
      <c r="D6692">
        <v>6431000</v>
      </c>
      <c r="E6692" t="s">
        <v>188</v>
      </c>
      <c r="F6692">
        <v>5104010115</v>
      </c>
      <c r="G6692">
        <v>170.88</v>
      </c>
      <c r="I6692" t="s">
        <v>142</v>
      </c>
      <c r="J6692" t="s">
        <v>787</v>
      </c>
      <c r="K6692" t="s">
        <v>155</v>
      </c>
      <c r="L6692">
        <v>4700003232</v>
      </c>
      <c r="M6692" t="s">
        <v>1092</v>
      </c>
    </row>
    <row r="6693" spans="3:13">
      <c r="C6693">
        <v>2100300025</v>
      </c>
      <c r="D6693">
        <v>6431000</v>
      </c>
      <c r="E6693" t="s">
        <v>188</v>
      </c>
      <c r="F6693">
        <v>5104010115</v>
      </c>
      <c r="G6693" s="13">
        <v>1882.71</v>
      </c>
      <c r="I6693" t="s">
        <v>142</v>
      </c>
      <c r="J6693" t="s">
        <v>876</v>
      </c>
      <c r="K6693" t="s">
        <v>155</v>
      </c>
      <c r="L6693">
        <v>4700002495</v>
      </c>
      <c r="M6693" t="s">
        <v>1093</v>
      </c>
    </row>
    <row r="6694" spans="3:13">
      <c r="C6694">
        <v>2100300025</v>
      </c>
      <c r="D6694">
        <v>6431000</v>
      </c>
      <c r="E6694" t="s">
        <v>188</v>
      </c>
      <c r="F6694">
        <v>5104010115</v>
      </c>
      <c r="G6694">
        <v>31.16</v>
      </c>
      <c r="I6694" t="s">
        <v>142</v>
      </c>
      <c r="J6694" t="s">
        <v>876</v>
      </c>
      <c r="K6694" t="s">
        <v>155</v>
      </c>
      <c r="L6694">
        <v>4700002496</v>
      </c>
      <c r="M6694" t="s">
        <v>1093</v>
      </c>
    </row>
    <row r="6695" spans="3:13">
      <c r="C6695">
        <v>2100300025</v>
      </c>
      <c r="D6695">
        <v>6431000</v>
      </c>
      <c r="E6695" t="s">
        <v>188</v>
      </c>
      <c r="F6695">
        <v>5104010115</v>
      </c>
      <c r="G6695">
        <v>408.03</v>
      </c>
      <c r="I6695" t="s">
        <v>142</v>
      </c>
      <c r="J6695" t="s">
        <v>882</v>
      </c>
      <c r="K6695" t="s">
        <v>155</v>
      </c>
      <c r="L6695">
        <v>4700003015</v>
      </c>
      <c r="M6695" t="s">
        <v>1094</v>
      </c>
    </row>
    <row r="6696" spans="3:13">
      <c r="C6696">
        <v>2100300025</v>
      </c>
      <c r="D6696">
        <v>6431000</v>
      </c>
      <c r="E6696" t="s">
        <v>188</v>
      </c>
      <c r="F6696">
        <v>5104010115</v>
      </c>
      <c r="G6696">
        <v>166.63</v>
      </c>
      <c r="I6696" t="s">
        <v>142</v>
      </c>
      <c r="J6696" t="s">
        <v>807</v>
      </c>
      <c r="K6696" t="s">
        <v>155</v>
      </c>
      <c r="L6696">
        <v>4700003674</v>
      </c>
      <c r="M6696" t="s">
        <v>1095</v>
      </c>
    </row>
    <row r="6697" spans="3:13">
      <c r="C6697">
        <v>2100300025</v>
      </c>
      <c r="D6697">
        <v>6431000</v>
      </c>
      <c r="E6697" t="s">
        <v>188</v>
      </c>
      <c r="F6697">
        <v>5104010115</v>
      </c>
      <c r="G6697">
        <v>173.32</v>
      </c>
      <c r="I6697" t="s">
        <v>142</v>
      </c>
      <c r="J6697" t="s">
        <v>888</v>
      </c>
      <c r="K6697" t="s">
        <v>155</v>
      </c>
      <c r="L6697">
        <v>4700007201</v>
      </c>
      <c r="M6697" t="s">
        <v>1096</v>
      </c>
    </row>
    <row r="6698" spans="3:13">
      <c r="C6698">
        <v>2100300025</v>
      </c>
      <c r="D6698">
        <v>6431000</v>
      </c>
      <c r="E6698" t="s">
        <v>188</v>
      </c>
      <c r="F6698">
        <v>5104010115</v>
      </c>
      <c r="G6698">
        <v>483.62</v>
      </c>
      <c r="I6698" t="s">
        <v>142</v>
      </c>
      <c r="J6698" t="s">
        <v>809</v>
      </c>
      <c r="K6698" t="s">
        <v>155</v>
      </c>
      <c r="L6698">
        <v>4700005198</v>
      </c>
      <c r="M6698" t="s">
        <v>1097</v>
      </c>
    </row>
    <row r="6699" spans="3:13">
      <c r="C6699">
        <v>2100300025</v>
      </c>
      <c r="D6699">
        <v>6431000</v>
      </c>
      <c r="E6699" t="s">
        <v>188</v>
      </c>
      <c r="F6699">
        <v>5104010115</v>
      </c>
      <c r="G6699" s="13">
        <v>1919.44</v>
      </c>
      <c r="I6699" t="s">
        <v>142</v>
      </c>
      <c r="J6699" t="s">
        <v>890</v>
      </c>
      <c r="K6699" t="s">
        <v>155</v>
      </c>
      <c r="L6699">
        <v>4700006932</v>
      </c>
      <c r="M6699" t="s">
        <v>1098</v>
      </c>
    </row>
    <row r="6700" spans="3:13">
      <c r="C6700">
        <v>2100300025</v>
      </c>
      <c r="D6700">
        <v>6431000</v>
      </c>
      <c r="E6700" t="s">
        <v>188</v>
      </c>
      <c r="F6700">
        <v>5104010115</v>
      </c>
      <c r="G6700">
        <v>972.08</v>
      </c>
      <c r="I6700" t="s">
        <v>142</v>
      </c>
      <c r="J6700" t="s">
        <v>810</v>
      </c>
      <c r="K6700" t="s">
        <v>155</v>
      </c>
      <c r="L6700">
        <v>4700005782</v>
      </c>
      <c r="M6700" t="s">
        <v>1099</v>
      </c>
    </row>
    <row r="6701" spans="3:13">
      <c r="C6701">
        <v>2100300025</v>
      </c>
      <c r="D6701">
        <v>6431000</v>
      </c>
      <c r="E6701" t="s">
        <v>188</v>
      </c>
      <c r="F6701">
        <v>5104010115</v>
      </c>
      <c r="G6701">
        <v>101.87</v>
      </c>
      <c r="I6701" t="s">
        <v>142</v>
      </c>
      <c r="J6701" t="s">
        <v>1100</v>
      </c>
      <c r="K6701" t="s">
        <v>155</v>
      </c>
      <c r="L6701">
        <v>4700006911</v>
      </c>
      <c r="M6701" t="s">
        <v>1101</v>
      </c>
    </row>
    <row r="6702" spans="3:13">
      <c r="C6702">
        <v>2100300025</v>
      </c>
      <c r="D6702">
        <v>6431000</v>
      </c>
      <c r="E6702" t="s">
        <v>188</v>
      </c>
      <c r="F6702">
        <v>5104010115</v>
      </c>
      <c r="G6702">
        <v>130.93</v>
      </c>
      <c r="I6702" t="s">
        <v>142</v>
      </c>
      <c r="J6702" t="s">
        <v>996</v>
      </c>
      <c r="K6702" t="s">
        <v>155</v>
      </c>
      <c r="L6702">
        <v>4700005970</v>
      </c>
      <c r="M6702" t="s">
        <v>1102</v>
      </c>
    </row>
    <row r="6703" spans="3:13">
      <c r="C6703">
        <v>2100300025</v>
      </c>
      <c r="D6703">
        <v>6431000</v>
      </c>
      <c r="E6703" t="s">
        <v>188</v>
      </c>
      <c r="F6703">
        <v>5104010115</v>
      </c>
      <c r="G6703">
        <v>103.84</v>
      </c>
      <c r="I6703" t="s">
        <v>142</v>
      </c>
      <c r="J6703" t="s">
        <v>998</v>
      </c>
      <c r="K6703" t="s">
        <v>155</v>
      </c>
      <c r="L6703">
        <v>4700001284</v>
      </c>
      <c r="M6703" t="s">
        <v>1103</v>
      </c>
    </row>
    <row r="6704" spans="3:13">
      <c r="C6704">
        <v>2100300025</v>
      </c>
      <c r="D6704">
        <v>6431000</v>
      </c>
      <c r="E6704" t="s">
        <v>188</v>
      </c>
      <c r="F6704">
        <v>5104010115</v>
      </c>
      <c r="G6704">
        <v>674.49</v>
      </c>
      <c r="I6704" t="s">
        <v>142</v>
      </c>
      <c r="J6704" t="s">
        <v>998</v>
      </c>
      <c r="K6704" t="s">
        <v>155</v>
      </c>
      <c r="L6704">
        <v>4700007524</v>
      </c>
      <c r="M6704" t="s">
        <v>1104</v>
      </c>
    </row>
    <row r="6705" spans="3:13">
      <c r="C6705">
        <v>2100300025</v>
      </c>
      <c r="D6705">
        <v>6431000</v>
      </c>
      <c r="E6705" t="s">
        <v>188</v>
      </c>
      <c r="F6705">
        <v>5104010115</v>
      </c>
      <c r="G6705">
        <v>744.15</v>
      </c>
      <c r="I6705" t="s">
        <v>142</v>
      </c>
      <c r="J6705" t="s">
        <v>891</v>
      </c>
      <c r="K6705" t="s">
        <v>155</v>
      </c>
      <c r="L6705">
        <v>4700007509</v>
      </c>
      <c r="M6705" t="s">
        <v>1105</v>
      </c>
    </row>
    <row r="6706" spans="3:13">
      <c r="C6706">
        <v>2100300025</v>
      </c>
      <c r="D6706">
        <v>6431000</v>
      </c>
      <c r="E6706" t="s">
        <v>188</v>
      </c>
      <c r="F6706">
        <v>5104010115</v>
      </c>
      <c r="G6706">
        <v>78.41</v>
      </c>
      <c r="I6706" t="s">
        <v>142</v>
      </c>
      <c r="J6706" t="s">
        <v>885</v>
      </c>
      <c r="K6706" t="s">
        <v>155</v>
      </c>
      <c r="L6706">
        <v>4700007402</v>
      </c>
      <c r="M6706" t="s">
        <v>1106</v>
      </c>
    </row>
    <row r="6707" spans="3:13">
      <c r="C6707">
        <v>2100300025</v>
      </c>
      <c r="D6707">
        <v>6431000</v>
      </c>
      <c r="E6707" t="s">
        <v>188</v>
      </c>
      <c r="F6707">
        <v>5104010115</v>
      </c>
      <c r="G6707">
        <v>228.48</v>
      </c>
      <c r="I6707" t="s">
        <v>142</v>
      </c>
      <c r="J6707" t="s">
        <v>871</v>
      </c>
      <c r="K6707" t="s">
        <v>155</v>
      </c>
      <c r="L6707">
        <v>4700001454</v>
      </c>
      <c r="M6707" t="s">
        <v>1107</v>
      </c>
    </row>
    <row r="6708" spans="3:13">
      <c r="C6708">
        <v>2100300025</v>
      </c>
      <c r="D6708">
        <v>6431000</v>
      </c>
      <c r="E6708" t="s">
        <v>188</v>
      </c>
      <c r="F6708">
        <v>5104010115</v>
      </c>
      <c r="G6708">
        <v>454.48</v>
      </c>
      <c r="I6708" t="s">
        <v>142</v>
      </c>
      <c r="J6708" t="s">
        <v>899</v>
      </c>
      <c r="K6708" t="s">
        <v>155</v>
      </c>
      <c r="L6708">
        <v>4700009628</v>
      </c>
      <c r="M6708" t="s">
        <v>1108</v>
      </c>
    </row>
    <row r="6709" spans="3:13">
      <c r="C6709">
        <v>2100300025</v>
      </c>
      <c r="D6709">
        <v>6431000</v>
      </c>
      <c r="E6709" t="s">
        <v>188</v>
      </c>
      <c r="F6709">
        <v>5104010115</v>
      </c>
      <c r="G6709">
        <v>248.86</v>
      </c>
      <c r="I6709" t="s">
        <v>142</v>
      </c>
      <c r="J6709" t="s">
        <v>899</v>
      </c>
      <c r="K6709" t="s">
        <v>155</v>
      </c>
      <c r="L6709">
        <v>4700009629</v>
      </c>
      <c r="M6709" t="s">
        <v>1109</v>
      </c>
    </row>
    <row r="6710" spans="3:13">
      <c r="C6710">
        <v>2100300025</v>
      </c>
      <c r="D6710">
        <v>6431000</v>
      </c>
      <c r="E6710" t="s">
        <v>188</v>
      </c>
      <c r="F6710">
        <v>5104010115</v>
      </c>
      <c r="G6710">
        <v>145.63999999999999</v>
      </c>
      <c r="I6710" t="s">
        <v>142</v>
      </c>
      <c r="J6710" t="s">
        <v>901</v>
      </c>
      <c r="K6710" t="s">
        <v>155</v>
      </c>
      <c r="L6710">
        <v>4700012333</v>
      </c>
      <c r="M6710" t="s">
        <v>1110</v>
      </c>
    </row>
    <row r="6711" spans="3:13">
      <c r="C6711">
        <v>2100300025</v>
      </c>
      <c r="D6711">
        <v>6431000</v>
      </c>
      <c r="E6711" t="s">
        <v>188</v>
      </c>
      <c r="F6711">
        <v>5104010115</v>
      </c>
      <c r="G6711">
        <v>54.19</v>
      </c>
      <c r="I6711" t="s">
        <v>142</v>
      </c>
      <c r="J6711" t="s">
        <v>892</v>
      </c>
      <c r="K6711" t="s">
        <v>155</v>
      </c>
      <c r="L6711">
        <v>4700008872</v>
      </c>
      <c r="M6711" t="s">
        <v>1111</v>
      </c>
    </row>
    <row r="6712" spans="3:13">
      <c r="C6712">
        <v>2100300025</v>
      </c>
      <c r="D6712">
        <v>6431000</v>
      </c>
      <c r="E6712" t="s">
        <v>188</v>
      </c>
      <c r="F6712">
        <v>5104010115</v>
      </c>
      <c r="G6712">
        <v>419.01</v>
      </c>
      <c r="I6712" t="s">
        <v>142</v>
      </c>
      <c r="J6712" t="s">
        <v>1112</v>
      </c>
      <c r="K6712" t="s">
        <v>155</v>
      </c>
      <c r="L6712">
        <v>4700008868</v>
      </c>
      <c r="M6712" t="s">
        <v>1113</v>
      </c>
    </row>
    <row r="6713" spans="3:13">
      <c r="C6713">
        <v>2100300025</v>
      </c>
      <c r="D6713">
        <v>6431000</v>
      </c>
      <c r="E6713" t="s">
        <v>188</v>
      </c>
      <c r="F6713">
        <v>5104010115</v>
      </c>
      <c r="G6713">
        <v>239.51</v>
      </c>
      <c r="I6713" t="s">
        <v>142</v>
      </c>
      <c r="J6713" t="s">
        <v>893</v>
      </c>
      <c r="K6713" t="s">
        <v>155</v>
      </c>
      <c r="L6713">
        <v>4700012307</v>
      </c>
      <c r="M6713" t="s">
        <v>1114</v>
      </c>
    </row>
    <row r="6714" spans="3:13">
      <c r="C6714">
        <v>2100300025</v>
      </c>
      <c r="D6714">
        <v>6431000</v>
      </c>
      <c r="E6714" t="s">
        <v>188</v>
      </c>
      <c r="F6714">
        <v>5104010115</v>
      </c>
      <c r="G6714">
        <v>215.84</v>
      </c>
      <c r="I6714" t="s">
        <v>142</v>
      </c>
      <c r="J6714" t="s">
        <v>814</v>
      </c>
      <c r="K6714" t="s">
        <v>155</v>
      </c>
      <c r="L6714">
        <v>4700011687</v>
      </c>
      <c r="M6714" t="s">
        <v>1115</v>
      </c>
    </row>
    <row r="6715" spans="3:13">
      <c r="C6715">
        <v>2100300025</v>
      </c>
      <c r="D6715">
        <v>6431000</v>
      </c>
      <c r="E6715" t="s">
        <v>188</v>
      </c>
      <c r="F6715">
        <v>5104010115</v>
      </c>
      <c r="G6715" s="13">
        <v>1470.48</v>
      </c>
      <c r="I6715" t="s">
        <v>142</v>
      </c>
      <c r="J6715" t="s">
        <v>812</v>
      </c>
      <c r="K6715" t="s">
        <v>155</v>
      </c>
      <c r="L6715">
        <v>4700009920</v>
      </c>
      <c r="M6715" t="s">
        <v>1116</v>
      </c>
    </row>
    <row r="6716" spans="3:13">
      <c r="C6716">
        <v>2100300025</v>
      </c>
      <c r="D6716">
        <v>6431000</v>
      </c>
      <c r="E6716" t="s">
        <v>188</v>
      </c>
      <c r="F6716">
        <v>5104010115</v>
      </c>
      <c r="G6716">
        <v>44.45</v>
      </c>
      <c r="I6716" t="s">
        <v>142</v>
      </c>
      <c r="J6716" t="s">
        <v>567</v>
      </c>
      <c r="K6716" t="s">
        <v>155</v>
      </c>
      <c r="L6716">
        <v>4700016497</v>
      </c>
      <c r="M6716" t="s">
        <v>1117</v>
      </c>
    </row>
    <row r="6717" spans="3:13">
      <c r="C6717">
        <v>2100300025</v>
      </c>
      <c r="D6717">
        <v>6431000</v>
      </c>
      <c r="E6717" t="s">
        <v>188</v>
      </c>
      <c r="F6717">
        <v>5104010115</v>
      </c>
      <c r="G6717">
        <v>381.11</v>
      </c>
      <c r="I6717" t="s">
        <v>142</v>
      </c>
      <c r="J6717" t="s">
        <v>903</v>
      </c>
      <c r="K6717" t="s">
        <v>155</v>
      </c>
      <c r="L6717">
        <v>4700016245</v>
      </c>
      <c r="M6717" t="s">
        <v>1118</v>
      </c>
    </row>
    <row r="6718" spans="3:13">
      <c r="C6718">
        <v>2100300025</v>
      </c>
      <c r="D6718">
        <v>6431000</v>
      </c>
      <c r="E6718" t="s">
        <v>188</v>
      </c>
      <c r="F6718">
        <v>5104010115</v>
      </c>
      <c r="G6718">
        <v>198.52</v>
      </c>
      <c r="I6718" t="s">
        <v>142</v>
      </c>
      <c r="J6718" t="s">
        <v>912</v>
      </c>
      <c r="K6718" t="s">
        <v>155</v>
      </c>
      <c r="L6718">
        <v>4700017576</v>
      </c>
      <c r="M6718" t="s">
        <v>1119</v>
      </c>
    </row>
    <row r="6719" spans="3:13">
      <c r="C6719">
        <v>2100300025</v>
      </c>
      <c r="D6719">
        <v>6431000</v>
      </c>
      <c r="E6719" t="s">
        <v>188</v>
      </c>
      <c r="F6719">
        <v>5104010115</v>
      </c>
      <c r="G6719">
        <v>689.69</v>
      </c>
      <c r="I6719" t="s">
        <v>142</v>
      </c>
      <c r="J6719" t="s">
        <v>917</v>
      </c>
      <c r="K6719" t="s">
        <v>155</v>
      </c>
      <c r="L6719">
        <v>4700019993</v>
      </c>
      <c r="M6719" t="s">
        <v>1120</v>
      </c>
    </row>
    <row r="6720" spans="3:13">
      <c r="C6720">
        <v>2100300025</v>
      </c>
      <c r="D6720">
        <v>6431000</v>
      </c>
      <c r="E6720" t="s">
        <v>188</v>
      </c>
      <c r="F6720">
        <v>5104010115</v>
      </c>
      <c r="G6720">
        <v>55.52</v>
      </c>
      <c r="I6720" t="s">
        <v>142</v>
      </c>
      <c r="J6720" t="s">
        <v>1001</v>
      </c>
      <c r="K6720" t="s">
        <v>155</v>
      </c>
      <c r="L6720">
        <v>4700023303</v>
      </c>
      <c r="M6720" t="s">
        <v>1121</v>
      </c>
    </row>
    <row r="6721" spans="3:13">
      <c r="C6721">
        <v>2100300025</v>
      </c>
      <c r="D6721">
        <v>6431000</v>
      </c>
      <c r="E6721" t="s">
        <v>188</v>
      </c>
      <c r="F6721">
        <v>5104010115</v>
      </c>
      <c r="G6721" s="13">
        <v>2338.37</v>
      </c>
      <c r="I6721" t="s">
        <v>142</v>
      </c>
      <c r="J6721" t="s">
        <v>906</v>
      </c>
      <c r="K6721" t="s">
        <v>155</v>
      </c>
      <c r="L6721">
        <v>4700015566</v>
      </c>
      <c r="M6721" t="s">
        <v>1122</v>
      </c>
    </row>
    <row r="6722" spans="3:13">
      <c r="C6722">
        <v>2100300025</v>
      </c>
      <c r="D6722">
        <v>6431000</v>
      </c>
      <c r="E6722" t="s">
        <v>188</v>
      </c>
      <c r="F6722">
        <v>5104010115</v>
      </c>
      <c r="G6722">
        <v>461.97</v>
      </c>
      <c r="I6722" t="s">
        <v>142</v>
      </c>
      <c r="J6722" t="s">
        <v>884</v>
      </c>
      <c r="K6722" t="s">
        <v>155</v>
      </c>
      <c r="L6722">
        <v>4700006147</v>
      </c>
      <c r="M6722" t="s">
        <v>1123</v>
      </c>
    </row>
    <row r="6723" spans="3:13">
      <c r="C6723">
        <v>2100300025</v>
      </c>
      <c r="D6723">
        <v>6431000</v>
      </c>
      <c r="E6723" t="s">
        <v>188</v>
      </c>
      <c r="F6723">
        <v>5104010115</v>
      </c>
      <c r="G6723">
        <v>30.82</v>
      </c>
      <c r="I6723" t="s">
        <v>142</v>
      </c>
      <c r="J6723" t="s">
        <v>884</v>
      </c>
      <c r="K6723" t="s">
        <v>155</v>
      </c>
      <c r="L6723">
        <v>4700005821</v>
      </c>
      <c r="M6723" t="s">
        <v>1124</v>
      </c>
    </row>
    <row r="6724" spans="3:13">
      <c r="C6724">
        <v>2100300025</v>
      </c>
      <c r="D6724">
        <v>6431000</v>
      </c>
      <c r="E6724" t="s">
        <v>188</v>
      </c>
      <c r="F6724">
        <v>5104010115</v>
      </c>
      <c r="G6724">
        <v>64.17</v>
      </c>
      <c r="I6724" t="s">
        <v>142</v>
      </c>
      <c r="J6724" t="s">
        <v>886</v>
      </c>
      <c r="K6724" t="s">
        <v>155</v>
      </c>
      <c r="L6724">
        <v>4700005707</v>
      </c>
      <c r="M6724" t="s">
        <v>1123</v>
      </c>
    </row>
    <row r="6725" spans="3:13">
      <c r="C6725">
        <v>2100300025</v>
      </c>
      <c r="D6725">
        <v>6431000</v>
      </c>
      <c r="E6725" t="s">
        <v>188</v>
      </c>
      <c r="F6725">
        <v>5104010115</v>
      </c>
      <c r="G6725">
        <v>132.36000000000001</v>
      </c>
      <c r="I6725" t="s">
        <v>142</v>
      </c>
      <c r="J6725" t="s">
        <v>886</v>
      </c>
      <c r="K6725" t="s">
        <v>155</v>
      </c>
      <c r="L6725">
        <v>4700005708</v>
      </c>
      <c r="M6725" t="s">
        <v>1125</v>
      </c>
    </row>
    <row r="6726" spans="3:13">
      <c r="C6726">
        <v>2100300025</v>
      </c>
      <c r="D6726">
        <v>6431000</v>
      </c>
      <c r="E6726" t="s">
        <v>188</v>
      </c>
      <c r="F6726">
        <v>5104010115</v>
      </c>
      <c r="G6726" s="13">
        <v>3061.92</v>
      </c>
      <c r="I6726" t="s">
        <v>142</v>
      </c>
      <c r="J6726" t="s">
        <v>887</v>
      </c>
      <c r="K6726" t="s">
        <v>155</v>
      </c>
      <c r="L6726">
        <v>4700006086</v>
      </c>
      <c r="M6726" t="s">
        <v>1126</v>
      </c>
    </row>
    <row r="6727" spans="3:13">
      <c r="C6727">
        <v>2100300025</v>
      </c>
      <c r="D6727">
        <v>6431000</v>
      </c>
      <c r="E6727" t="s">
        <v>188</v>
      </c>
      <c r="F6727">
        <v>5104010115</v>
      </c>
      <c r="G6727">
        <v>57.27</v>
      </c>
      <c r="I6727" t="s">
        <v>142</v>
      </c>
      <c r="J6727" t="s">
        <v>887</v>
      </c>
      <c r="K6727" t="s">
        <v>155</v>
      </c>
      <c r="L6727">
        <v>4700006087</v>
      </c>
      <c r="M6727" t="s">
        <v>1127</v>
      </c>
    </row>
    <row r="6728" spans="3:13">
      <c r="C6728">
        <v>2100300025</v>
      </c>
      <c r="D6728">
        <v>6431000</v>
      </c>
      <c r="E6728" t="s">
        <v>188</v>
      </c>
      <c r="F6728">
        <v>5104010115</v>
      </c>
      <c r="G6728">
        <v>580.23</v>
      </c>
      <c r="I6728" t="s">
        <v>142</v>
      </c>
      <c r="J6728" t="s">
        <v>888</v>
      </c>
      <c r="K6728" t="s">
        <v>155</v>
      </c>
      <c r="L6728">
        <v>4700006952</v>
      </c>
      <c r="M6728" t="s">
        <v>1128</v>
      </c>
    </row>
    <row r="6729" spans="3:13">
      <c r="C6729">
        <v>2100300025</v>
      </c>
      <c r="D6729">
        <v>6431000</v>
      </c>
      <c r="E6729" t="s">
        <v>188</v>
      </c>
      <c r="F6729">
        <v>5104010115</v>
      </c>
      <c r="G6729">
        <v>113.7</v>
      </c>
      <c r="I6729" t="s">
        <v>142</v>
      </c>
      <c r="J6729" t="s">
        <v>808</v>
      </c>
      <c r="K6729" t="s">
        <v>155</v>
      </c>
      <c r="L6729">
        <v>4700000631</v>
      </c>
      <c r="M6729" t="s">
        <v>1129</v>
      </c>
    </row>
    <row r="6730" spans="3:13">
      <c r="C6730">
        <v>2100300025</v>
      </c>
      <c r="D6730">
        <v>6431000</v>
      </c>
      <c r="E6730" t="s">
        <v>188</v>
      </c>
      <c r="F6730">
        <v>5104010115</v>
      </c>
      <c r="G6730">
        <v>59.92</v>
      </c>
      <c r="I6730" t="s">
        <v>142</v>
      </c>
      <c r="J6730" t="s">
        <v>808</v>
      </c>
      <c r="K6730" t="s">
        <v>155</v>
      </c>
      <c r="L6730">
        <v>4700003681</v>
      </c>
      <c r="M6730" t="s">
        <v>1130</v>
      </c>
    </row>
    <row r="6731" spans="3:13">
      <c r="C6731">
        <v>2100300025</v>
      </c>
      <c r="D6731">
        <v>6431000</v>
      </c>
      <c r="E6731" t="s">
        <v>188</v>
      </c>
      <c r="F6731">
        <v>5104010115</v>
      </c>
      <c r="G6731">
        <v>83.41</v>
      </c>
      <c r="I6731" t="s">
        <v>142</v>
      </c>
      <c r="J6731" t="s">
        <v>809</v>
      </c>
      <c r="K6731" t="s">
        <v>155</v>
      </c>
      <c r="L6731">
        <v>4700005199</v>
      </c>
      <c r="M6731" t="s">
        <v>1131</v>
      </c>
    </row>
    <row r="6732" spans="3:13">
      <c r="C6732">
        <v>2100300025</v>
      </c>
      <c r="D6732">
        <v>6431000</v>
      </c>
      <c r="E6732" t="s">
        <v>188</v>
      </c>
      <c r="F6732">
        <v>5104010115</v>
      </c>
      <c r="G6732">
        <v>151</v>
      </c>
      <c r="I6732" t="s">
        <v>142</v>
      </c>
      <c r="J6732" t="s">
        <v>889</v>
      </c>
      <c r="K6732" t="s">
        <v>155</v>
      </c>
      <c r="L6732">
        <v>4700007101</v>
      </c>
      <c r="M6732" t="s">
        <v>1132</v>
      </c>
    </row>
    <row r="6733" spans="3:13">
      <c r="C6733">
        <v>2100300025</v>
      </c>
      <c r="D6733">
        <v>6431000</v>
      </c>
      <c r="E6733" t="s">
        <v>188</v>
      </c>
      <c r="F6733">
        <v>5104010115</v>
      </c>
      <c r="G6733">
        <v>483.38</v>
      </c>
      <c r="I6733" t="s">
        <v>142</v>
      </c>
      <c r="J6733" t="s">
        <v>571</v>
      </c>
      <c r="K6733" t="s">
        <v>155</v>
      </c>
      <c r="L6733">
        <v>4700008915</v>
      </c>
      <c r="M6733" t="s">
        <v>1133</v>
      </c>
    </row>
    <row r="6734" spans="3:13">
      <c r="C6734">
        <v>2100300025</v>
      </c>
      <c r="D6734">
        <v>6431000</v>
      </c>
      <c r="E6734" t="s">
        <v>188</v>
      </c>
      <c r="F6734">
        <v>5104010115</v>
      </c>
      <c r="G6734">
        <v>349.87</v>
      </c>
      <c r="I6734" t="s">
        <v>142</v>
      </c>
      <c r="J6734" t="s">
        <v>571</v>
      </c>
      <c r="K6734" t="s">
        <v>155</v>
      </c>
      <c r="L6734">
        <v>4700007840</v>
      </c>
      <c r="M6734" t="s">
        <v>1134</v>
      </c>
    </row>
    <row r="6735" spans="3:13">
      <c r="C6735">
        <v>2100300025</v>
      </c>
      <c r="D6735">
        <v>6431000</v>
      </c>
      <c r="E6735" t="s">
        <v>188</v>
      </c>
      <c r="F6735">
        <v>5104010115</v>
      </c>
      <c r="G6735">
        <v>178.35</v>
      </c>
      <c r="I6735" t="s">
        <v>142</v>
      </c>
      <c r="J6735" t="s">
        <v>883</v>
      </c>
      <c r="K6735" t="s">
        <v>155</v>
      </c>
      <c r="L6735">
        <v>4700005780</v>
      </c>
      <c r="M6735" t="s">
        <v>1135</v>
      </c>
    </row>
    <row r="6736" spans="3:13">
      <c r="C6736">
        <v>2100300025</v>
      </c>
      <c r="D6736">
        <v>6431000</v>
      </c>
      <c r="E6736" t="s">
        <v>188</v>
      </c>
      <c r="F6736">
        <v>5104010115</v>
      </c>
      <c r="G6736">
        <v>288.88</v>
      </c>
      <c r="I6736" t="s">
        <v>142</v>
      </c>
      <c r="J6736" t="s">
        <v>883</v>
      </c>
      <c r="K6736" t="s">
        <v>155</v>
      </c>
      <c r="L6736">
        <v>4700005162</v>
      </c>
      <c r="M6736" t="s">
        <v>1136</v>
      </c>
    </row>
    <row r="6737" spans="3:13">
      <c r="C6737">
        <v>2100300025</v>
      </c>
      <c r="D6737">
        <v>6431000</v>
      </c>
      <c r="E6737" t="s">
        <v>188</v>
      </c>
      <c r="F6737">
        <v>5104010115</v>
      </c>
      <c r="G6737">
        <v>274.68</v>
      </c>
      <c r="I6737" t="s">
        <v>142</v>
      </c>
      <c r="J6737" t="s">
        <v>810</v>
      </c>
      <c r="K6737" t="s">
        <v>155</v>
      </c>
      <c r="L6737">
        <v>4700006501</v>
      </c>
      <c r="M6737" t="s">
        <v>1137</v>
      </c>
    </row>
    <row r="6738" spans="3:13">
      <c r="C6738">
        <v>2100300025</v>
      </c>
      <c r="D6738">
        <v>6431000</v>
      </c>
      <c r="E6738" t="s">
        <v>188</v>
      </c>
      <c r="F6738">
        <v>5104010115</v>
      </c>
      <c r="G6738">
        <v>110.36</v>
      </c>
      <c r="I6738" t="s">
        <v>142</v>
      </c>
      <c r="J6738" t="s">
        <v>1100</v>
      </c>
      <c r="K6738" t="s">
        <v>155</v>
      </c>
      <c r="L6738">
        <v>4700005940</v>
      </c>
      <c r="M6738" t="s">
        <v>1138</v>
      </c>
    </row>
    <row r="6739" spans="3:13">
      <c r="C6739">
        <v>2100300025</v>
      </c>
      <c r="D6739">
        <v>6431000</v>
      </c>
      <c r="E6739" t="s">
        <v>188</v>
      </c>
      <c r="F6739">
        <v>5104010115</v>
      </c>
      <c r="G6739">
        <v>126.14</v>
      </c>
      <c r="I6739" t="s">
        <v>142</v>
      </c>
      <c r="J6739" t="s">
        <v>811</v>
      </c>
      <c r="K6739" t="s">
        <v>155</v>
      </c>
      <c r="L6739">
        <v>4700007809</v>
      </c>
      <c r="M6739" t="s">
        <v>1139</v>
      </c>
    </row>
    <row r="6740" spans="3:13">
      <c r="C6740">
        <v>2100300025</v>
      </c>
      <c r="D6740">
        <v>6431000</v>
      </c>
      <c r="E6740" t="s">
        <v>188</v>
      </c>
      <c r="F6740">
        <v>5104010115</v>
      </c>
      <c r="G6740">
        <v>284.57</v>
      </c>
      <c r="I6740" t="s">
        <v>142</v>
      </c>
      <c r="J6740" t="s">
        <v>811</v>
      </c>
      <c r="K6740" t="s">
        <v>155</v>
      </c>
      <c r="L6740">
        <v>4700008513</v>
      </c>
      <c r="M6740" t="s">
        <v>1140</v>
      </c>
    </row>
    <row r="6741" spans="3:13">
      <c r="C6741">
        <v>2100300025</v>
      </c>
      <c r="D6741">
        <v>6431000</v>
      </c>
      <c r="E6741" t="s">
        <v>188</v>
      </c>
      <c r="F6741">
        <v>5104010115</v>
      </c>
      <c r="G6741">
        <v>375.11</v>
      </c>
      <c r="I6741" t="s">
        <v>142</v>
      </c>
      <c r="J6741" t="s">
        <v>885</v>
      </c>
      <c r="K6741" t="s">
        <v>155</v>
      </c>
      <c r="L6741">
        <v>4700000653</v>
      </c>
      <c r="M6741" t="s">
        <v>1141</v>
      </c>
    </row>
    <row r="6742" spans="3:13">
      <c r="C6742">
        <v>2100300025</v>
      </c>
      <c r="D6742">
        <v>6431000</v>
      </c>
      <c r="E6742" t="s">
        <v>188</v>
      </c>
      <c r="F6742">
        <v>5104010115</v>
      </c>
      <c r="G6742">
        <v>117.32</v>
      </c>
      <c r="I6742" t="s">
        <v>142</v>
      </c>
      <c r="J6742" t="s">
        <v>871</v>
      </c>
      <c r="K6742" t="s">
        <v>155</v>
      </c>
      <c r="L6742">
        <v>4700013129</v>
      </c>
      <c r="M6742" t="s">
        <v>1142</v>
      </c>
    </row>
    <row r="6743" spans="3:13">
      <c r="C6743">
        <v>2100300025</v>
      </c>
      <c r="D6743">
        <v>6431000</v>
      </c>
      <c r="E6743" t="s">
        <v>188</v>
      </c>
      <c r="F6743">
        <v>5104010115</v>
      </c>
      <c r="G6743">
        <v>72.44</v>
      </c>
      <c r="I6743" t="s">
        <v>142</v>
      </c>
      <c r="J6743" t="s">
        <v>896</v>
      </c>
      <c r="K6743" t="s">
        <v>155</v>
      </c>
      <c r="L6743">
        <v>4700011775</v>
      </c>
      <c r="M6743" t="s">
        <v>1143</v>
      </c>
    </row>
    <row r="6744" spans="3:13">
      <c r="C6744">
        <v>2100300025</v>
      </c>
      <c r="D6744">
        <v>6431000</v>
      </c>
      <c r="E6744" t="s">
        <v>188</v>
      </c>
      <c r="F6744">
        <v>5104010115</v>
      </c>
      <c r="G6744">
        <v>88.84</v>
      </c>
      <c r="I6744" t="s">
        <v>142</v>
      </c>
      <c r="J6744" t="s">
        <v>896</v>
      </c>
      <c r="K6744" t="s">
        <v>155</v>
      </c>
      <c r="L6744">
        <v>4700011776</v>
      </c>
      <c r="M6744" t="s">
        <v>1144</v>
      </c>
    </row>
    <row r="6745" spans="3:13">
      <c r="C6745">
        <v>2100300025</v>
      </c>
      <c r="D6745">
        <v>6431000</v>
      </c>
      <c r="E6745" t="s">
        <v>188</v>
      </c>
      <c r="F6745">
        <v>5104010115</v>
      </c>
      <c r="G6745" s="13">
        <v>1344.39</v>
      </c>
      <c r="I6745" t="s">
        <v>142</v>
      </c>
      <c r="J6745" t="s">
        <v>894</v>
      </c>
      <c r="K6745" t="s">
        <v>155</v>
      </c>
      <c r="L6745">
        <v>4700009944</v>
      </c>
      <c r="M6745" t="s">
        <v>1145</v>
      </c>
    </row>
    <row r="6746" spans="3:13">
      <c r="C6746">
        <v>2100300025</v>
      </c>
      <c r="D6746">
        <v>6431000</v>
      </c>
      <c r="E6746" t="s">
        <v>188</v>
      </c>
      <c r="F6746">
        <v>5104010115</v>
      </c>
      <c r="G6746">
        <v>630.07000000000005</v>
      </c>
      <c r="I6746" t="s">
        <v>142</v>
      </c>
      <c r="J6746" t="s">
        <v>894</v>
      </c>
      <c r="K6746" t="s">
        <v>155</v>
      </c>
      <c r="L6746">
        <v>4700011777</v>
      </c>
      <c r="M6746" t="s">
        <v>1146</v>
      </c>
    </row>
    <row r="6747" spans="3:13">
      <c r="C6747">
        <v>2100300025</v>
      </c>
      <c r="D6747">
        <v>6431000</v>
      </c>
      <c r="E6747" t="s">
        <v>188</v>
      </c>
      <c r="F6747">
        <v>5104010115</v>
      </c>
      <c r="G6747">
        <v>119.84</v>
      </c>
      <c r="I6747" t="s">
        <v>142</v>
      </c>
      <c r="J6747" t="s">
        <v>813</v>
      </c>
      <c r="K6747" t="s">
        <v>155</v>
      </c>
      <c r="L6747">
        <v>4700014531</v>
      </c>
      <c r="M6747" t="s">
        <v>1147</v>
      </c>
    </row>
    <row r="6748" spans="3:13">
      <c r="C6748">
        <v>2100300025</v>
      </c>
      <c r="D6748">
        <v>6431000</v>
      </c>
      <c r="E6748" t="s">
        <v>188</v>
      </c>
      <c r="F6748">
        <v>5104010115</v>
      </c>
      <c r="G6748" s="13">
        <v>1717.36</v>
      </c>
      <c r="I6748" t="s">
        <v>142</v>
      </c>
      <c r="J6748" t="s">
        <v>813</v>
      </c>
      <c r="K6748" t="s">
        <v>155</v>
      </c>
      <c r="L6748">
        <v>4700014530</v>
      </c>
      <c r="M6748" t="s">
        <v>1148</v>
      </c>
    </row>
    <row r="6749" spans="3:13">
      <c r="C6749">
        <v>2100300025</v>
      </c>
      <c r="D6749">
        <v>6431000</v>
      </c>
      <c r="E6749" t="s">
        <v>188</v>
      </c>
      <c r="F6749">
        <v>5104010115</v>
      </c>
      <c r="G6749">
        <v>155.47</v>
      </c>
      <c r="I6749" t="s">
        <v>142</v>
      </c>
      <c r="J6749" t="s">
        <v>895</v>
      </c>
      <c r="K6749" t="s">
        <v>155</v>
      </c>
      <c r="L6749">
        <v>4700012919</v>
      </c>
      <c r="M6749" t="s">
        <v>1149</v>
      </c>
    </row>
    <row r="6750" spans="3:13">
      <c r="C6750">
        <v>2100300025</v>
      </c>
      <c r="D6750">
        <v>6431000</v>
      </c>
      <c r="E6750" t="s">
        <v>188</v>
      </c>
      <c r="F6750">
        <v>5104010115</v>
      </c>
      <c r="G6750">
        <v>224.23</v>
      </c>
      <c r="I6750" t="s">
        <v>142</v>
      </c>
      <c r="J6750" t="s">
        <v>895</v>
      </c>
      <c r="K6750" t="s">
        <v>155</v>
      </c>
      <c r="L6750">
        <v>4700013005</v>
      </c>
      <c r="M6750" t="s">
        <v>1150</v>
      </c>
    </row>
    <row r="6751" spans="3:13">
      <c r="C6751">
        <v>2100300025</v>
      </c>
      <c r="D6751">
        <v>6431000</v>
      </c>
      <c r="E6751" t="s">
        <v>188</v>
      </c>
      <c r="F6751">
        <v>5104010115</v>
      </c>
      <c r="G6751">
        <v>215.14</v>
      </c>
      <c r="I6751" t="s">
        <v>142</v>
      </c>
      <c r="J6751" t="s">
        <v>897</v>
      </c>
      <c r="K6751" t="s">
        <v>155</v>
      </c>
      <c r="L6751">
        <v>4700009474</v>
      </c>
      <c r="M6751" t="s">
        <v>1151</v>
      </c>
    </row>
    <row r="6752" spans="3:13">
      <c r="C6752">
        <v>2100300025</v>
      </c>
      <c r="D6752">
        <v>6431000</v>
      </c>
      <c r="E6752" t="s">
        <v>188</v>
      </c>
      <c r="F6752">
        <v>5104010115</v>
      </c>
      <c r="G6752">
        <v>457.42</v>
      </c>
      <c r="I6752" t="s">
        <v>142</v>
      </c>
      <c r="J6752" t="s">
        <v>816</v>
      </c>
      <c r="K6752" t="s">
        <v>155</v>
      </c>
      <c r="L6752">
        <v>4700012391</v>
      </c>
      <c r="M6752" t="s">
        <v>1152</v>
      </c>
    </row>
    <row r="6753" spans="3:13">
      <c r="C6753">
        <v>2100300025</v>
      </c>
      <c r="D6753">
        <v>6431000</v>
      </c>
      <c r="E6753" t="s">
        <v>188</v>
      </c>
      <c r="F6753">
        <v>5104010115</v>
      </c>
      <c r="G6753">
        <v>25.68</v>
      </c>
      <c r="I6753" t="s">
        <v>142</v>
      </c>
      <c r="J6753" t="s">
        <v>816</v>
      </c>
      <c r="K6753" t="s">
        <v>155</v>
      </c>
      <c r="L6753">
        <v>4700009965</v>
      </c>
      <c r="M6753" t="s">
        <v>1153</v>
      </c>
    </row>
    <row r="6754" spans="3:13">
      <c r="C6754">
        <v>2100300025</v>
      </c>
      <c r="D6754">
        <v>6431000</v>
      </c>
      <c r="E6754" t="s">
        <v>188</v>
      </c>
      <c r="F6754">
        <v>5104010115</v>
      </c>
      <c r="G6754">
        <v>47.56</v>
      </c>
      <c r="I6754" t="s">
        <v>142</v>
      </c>
      <c r="J6754" t="s">
        <v>898</v>
      </c>
      <c r="K6754" t="s">
        <v>155</v>
      </c>
      <c r="L6754">
        <v>4700012392</v>
      </c>
      <c r="M6754" t="s">
        <v>1154</v>
      </c>
    </row>
    <row r="6755" spans="3:13">
      <c r="C6755">
        <v>2100300025</v>
      </c>
      <c r="D6755">
        <v>6431000</v>
      </c>
      <c r="E6755" t="s">
        <v>188</v>
      </c>
      <c r="F6755">
        <v>5104010115</v>
      </c>
      <c r="G6755">
        <v>181.77</v>
      </c>
      <c r="I6755" t="s">
        <v>142</v>
      </c>
      <c r="J6755" t="s">
        <v>898</v>
      </c>
      <c r="K6755" t="s">
        <v>155</v>
      </c>
      <c r="L6755">
        <v>4700012393</v>
      </c>
      <c r="M6755" t="s">
        <v>1155</v>
      </c>
    </row>
    <row r="6756" spans="3:13">
      <c r="C6756">
        <v>2100300025</v>
      </c>
      <c r="D6756">
        <v>6431000</v>
      </c>
      <c r="E6756" t="s">
        <v>188</v>
      </c>
      <c r="F6756">
        <v>5104010115</v>
      </c>
      <c r="G6756" s="13">
        <v>2072.5</v>
      </c>
      <c r="I6756" t="s">
        <v>142</v>
      </c>
      <c r="J6756" t="s">
        <v>815</v>
      </c>
      <c r="K6756" t="s">
        <v>155</v>
      </c>
      <c r="L6756">
        <v>4700009368</v>
      </c>
      <c r="M6756" t="s">
        <v>1156</v>
      </c>
    </row>
    <row r="6757" spans="3:13">
      <c r="C6757">
        <v>2100300025</v>
      </c>
      <c r="D6757">
        <v>6431000</v>
      </c>
      <c r="E6757" t="s">
        <v>188</v>
      </c>
      <c r="F6757">
        <v>5104010115</v>
      </c>
      <c r="G6757">
        <v>201.45</v>
      </c>
      <c r="I6757" t="s">
        <v>142</v>
      </c>
      <c r="J6757" t="s">
        <v>815</v>
      </c>
      <c r="K6757" t="s">
        <v>155</v>
      </c>
      <c r="L6757">
        <v>4700014231</v>
      </c>
      <c r="M6757" t="s">
        <v>1157</v>
      </c>
    </row>
    <row r="6758" spans="3:13">
      <c r="C6758">
        <v>2100300025</v>
      </c>
      <c r="D6758">
        <v>6431000</v>
      </c>
      <c r="E6758" t="s">
        <v>188</v>
      </c>
      <c r="F6758">
        <v>5104010115</v>
      </c>
      <c r="G6758">
        <v>181.01</v>
      </c>
      <c r="I6758" t="s">
        <v>142</v>
      </c>
      <c r="J6758" t="s">
        <v>814</v>
      </c>
      <c r="K6758" t="s">
        <v>155</v>
      </c>
      <c r="L6758">
        <v>4700011689</v>
      </c>
      <c r="M6758" t="s">
        <v>1158</v>
      </c>
    </row>
    <row r="6759" spans="3:13">
      <c r="C6759">
        <v>2100300025</v>
      </c>
      <c r="D6759">
        <v>6431000</v>
      </c>
      <c r="E6759" t="s">
        <v>188</v>
      </c>
      <c r="F6759">
        <v>5104010115</v>
      </c>
      <c r="G6759" s="13">
        <v>4585.96</v>
      </c>
      <c r="I6759" t="s">
        <v>142</v>
      </c>
      <c r="J6759" t="s">
        <v>812</v>
      </c>
      <c r="K6759" t="s">
        <v>155</v>
      </c>
      <c r="L6759">
        <v>4700009919</v>
      </c>
      <c r="M6759" t="s">
        <v>1159</v>
      </c>
    </row>
    <row r="6760" spans="3:13">
      <c r="C6760">
        <v>2100300025</v>
      </c>
      <c r="D6760">
        <v>6431000</v>
      </c>
      <c r="E6760" t="s">
        <v>188</v>
      </c>
      <c r="F6760">
        <v>5104010115</v>
      </c>
      <c r="G6760">
        <v>566.20000000000005</v>
      </c>
      <c r="I6760" t="s">
        <v>142</v>
      </c>
      <c r="J6760" t="s">
        <v>802</v>
      </c>
      <c r="K6760" t="s">
        <v>155</v>
      </c>
      <c r="L6760">
        <v>4700009870</v>
      </c>
      <c r="M6760" t="s">
        <v>1160</v>
      </c>
    </row>
    <row r="6761" spans="3:13">
      <c r="C6761">
        <v>2100300025</v>
      </c>
      <c r="D6761">
        <v>6431000</v>
      </c>
      <c r="E6761" t="s">
        <v>188</v>
      </c>
      <c r="F6761">
        <v>5104010115</v>
      </c>
      <c r="G6761">
        <v>335.38</v>
      </c>
      <c r="I6761" t="s">
        <v>142</v>
      </c>
      <c r="J6761" t="s">
        <v>802</v>
      </c>
      <c r="K6761" t="s">
        <v>155</v>
      </c>
      <c r="L6761">
        <v>4700009873</v>
      </c>
      <c r="M6761" t="s">
        <v>1161</v>
      </c>
    </row>
    <row r="6762" spans="3:13">
      <c r="C6762">
        <v>2100300025</v>
      </c>
      <c r="D6762">
        <v>6431000</v>
      </c>
      <c r="E6762" t="s">
        <v>188</v>
      </c>
      <c r="F6762">
        <v>5104010115</v>
      </c>
      <c r="G6762">
        <v>726.24</v>
      </c>
      <c r="I6762" t="s">
        <v>142</v>
      </c>
      <c r="J6762" t="s">
        <v>900</v>
      </c>
      <c r="K6762" t="s">
        <v>155</v>
      </c>
      <c r="L6762">
        <v>4700009923</v>
      </c>
      <c r="M6762" t="s">
        <v>1162</v>
      </c>
    </row>
    <row r="6763" spans="3:13">
      <c r="C6763">
        <v>2100300025</v>
      </c>
      <c r="D6763">
        <v>6431000</v>
      </c>
      <c r="E6763" t="s">
        <v>188</v>
      </c>
      <c r="F6763">
        <v>5104010115</v>
      </c>
      <c r="G6763">
        <v>402.65</v>
      </c>
      <c r="I6763" t="s">
        <v>142</v>
      </c>
      <c r="J6763" t="s">
        <v>900</v>
      </c>
      <c r="K6763" t="s">
        <v>155</v>
      </c>
      <c r="L6763">
        <v>4700011698</v>
      </c>
      <c r="M6763" t="s">
        <v>1163</v>
      </c>
    </row>
    <row r="6764" spans="3:13">
      <c r="C6764">
        <v>2100300025</v>
      </c>
      <c r="D6764">
        <v>6431000</v>
      </c>
      <c r="E6764" t="s">
        <v>188</v>
      </c>
      <c r="F6764">
        <v>5104010115</v>
      </c>
      <c r="G6764">
        <v>348.01</v>
      </c>
      <c r="I6764" t="s">
        <v>142</v>
      </c>
      <c r="J6764" t="s">
        <v>817</v>
      </c>
      <c r="K6764" t="s">
        <v>155</v>
      </c>
      <c r="L6764">
        <v>4700014148</v>
      </c>
      <c r="M6764" t="s">
        <v>1164</v>
      </c>
    </row>
    <row r="6765" spans="3:13">
      <c r="C6765">
        <v>2100300025</v>
      </c>
      <c r="D6765">
        <v>6431000</v>
      </c>
      <c r="E6765" t="s">
        <v>188</v>
      </c>
      <c r="F6765">
        <v>5104010115</v>
      </c>
      <c r="G6765">
        <v>65.040000000000006</v>
      </c>
      <c r="I6765" t="s">
        <v>142</v>
      </c>
      <c r="J6765" t="s">
        <v>817</v>
      </c>
      <c r="K6765" t="s">
        <v>155</v>
      </c>
      <c r="L6765">
        <v>4700014047</v>
      </c>
      <c r="M6765" t="s">
        <v>1164</v>
      </c>
    </row>
    <row r="6766" spans="3:13">
      <c r="C6766">
        <v>2100300025</v>
      </c>
      <c r="D6766">
        <v>6431000</v>
      </c>
      <c r="E6766" t="s">
        <v>188</v>
      </c>
      <c r="F6766">
        <v>5104010115</v>
      </c>
      <c r="G6766">
        <v>79.400000000000006</v>
      </c>
      <c r="I6766" t="s">
        <v>142</v>
      </c>
      <c r="J6766" t="s">
        <v>817</v>
      </c>
      <c r="K6766" t="s">
        <v>155</v>
      </c>
      <c r="L6766">
        <v>4700013226</v>
      </c>
      <c r="M6766" t="s">
        <v>1165</v>
      </c>
    </row>
    <row r="6767" spans="3:13">
      <c r="C6767">
        <v>2100300025</v>
      </c>
      <c r="D6767">
        <v>6431000</v>
      </c>
      <c r="E6767" t="s">
        <v>188</v>
      </c>
      <c r="F6767">
        <v>5104010115</v>
      </c>
      <c r="G6767">
        <v>231.85</v>
      </c>
      <c r="I6767" t="s">
        <v>142</v>
      </c>
      <c r="J6767" t="s">
        <v>901</v>
      </c>
      <c r="K6767" t="s">
        <v>155</v>
      </c>
      <c r="L6767">
        <v>4700012029</v>
      </c>
      <c r="M6767" t="s">
        <v>1166</v>
      </c>
    </row>
    <row r="6768" spans="3:13">
      <c r="C6768">
        <v>2100300025</v>
      </c>
      <c r="D6768">
        <v>6431000</v>
      </c>
      <c r="E6768" t="s">
        <v>188</v>
      </c>
      <c r="F6768">
        <v>5104010115</v>
      </c>
      <c r="G6768">
        <v>349.31</v>
      </c>
      <c r="I6768" t="s">
        <v>142</v>
      </c>
      <c r="J6768" t="s">
        <v>818</v>
      </c>
      <c r="K6768" t="s">
        <v>155</v>
      </c>
      <c r="L6768">
        <v>4700013313</v>
      </c>
      <c r="M6768" t="s">
        <v>1167</v>
      </c>
    </row>
    <row r="6769" spans="3:13">
      <c r="C6769">
        <v>2100300025</v>
      </c>
      <c r="D6769">
        <v>6431000</v>
      </c>
      <c r="E6769" t="s">
        <v>188</v>
      </c>
      <c r="F6769">
        <v>5104010115</v>
      </c>
      <c r="G6769">
        <v>178.44</v>
      </c>
      <c r="I6769" t="s">
        <v>142</v>
      </c>
      <c r="J6769" t="s">
        <v>818</v>
      </c>
      <c r="K6769" t="s">
        <v>155</v>
      </c>
      <c r="L6769">
        <v>4700000961</v>
      </c>
      <c r="M6769" t="s">
        <v>1168</v>
      </c>
    </row>
    <row r="6770" spans="3:13">
      <c r="C6770">
        <v>2100300025</v>
      </c>
      <c r="D6770">
        <v>6431000</v>
      </c>
      <c r="E6770" t="s">
        <v>188</v>
      </c>
      <c r="F6770">
        <v>5104010115</v>
      </c>
      <c r="G6770">
        <v>153.75</v>
      </c>
      <c r="I6770" t="s">
        <v>142</v>
      </c>
      <c r="J6770" t="s">
        <v>1112</v>
      </c>
      <c r="K6770" t="s">
        <v>155</v>
      </c>
      <c r="L6770">
        <v>4700009072</v>
      </c>
      <c r="M6770" t="s">
        <v>1169</v>
      </c>
    </row>
    <row r="6771" spans="3:13">
      <c r="C6771">
        <v>2100300025</v>
      </c>
      <c r="D6771">
        <v>6431000</v>
      </c>
      <c r="E6771" t="s">
        <v>188</v>
      </c>
      <c r="F6771">
        <v>5104010115</v>
      </c>
      <c r="G6771">
        <v>476.5</v>
      </c>
      <c r="I6771" t="s">
        <v>142</v>
      </c>
      <c r="J6771" t="s">
        <v>893</v>
      </c>
      <c r="K6771" t="s">
        <v>155</v>
      </c>
      <c r="L6771">
        <v>4700009951</v>
      </c>
      <c r="M6771" t="s">
        <v>1170</v>
      </c>
    </row>
    <row r="6772" spans="3:13">
      <c r="C6772">
        <v>2100300025</v>
      </c>
      <c r="D6772">
        <v>6431000</v>
      </c>
      <c r="E6772" t="s">
        <v>188</v>
      </c>
      <c r="F6772">
        <v>5104010115</v>
      </c>
      <c r="G6772">
        <v>242.86</v>
      </c>
      <c r="I6772" t="s">
        <v>142</v>
      </c>
      <c r="J6772" t="s">
        <v>908</v>
      </c>
      <c r="K6772" t="s">
        <v>155</v>
      </c>
      <c r="L6772">
        <v>4700016951</v>
      </c>
      <c r="M6772" t="s">
        <v>1171</v>
      </c>
    </row>
    <row r="6773" spans="3:13">
      <c r="C6773">
        <v>2100300025</v>
      </c>
      <c r="D6773">
        <v>6431000</v>
      </c>
      <c r="E6773" t="s">
        <v>188</v>
      </c>
      <c r="F6773">
        <v>5104010115</v>
      </c>
      <c r="G6773">
        <v>141.51</v>
      </c>
      <c r="I6773" t="s">
        <v>142</v>
      </c>
      <c r="J6773" t="s">
        <v>1010</v>
      </c>
      <c r="K6773" t="s">
        <v>155</v>
      </c>
      <c r="L6773">
        <v>4700016899</v>
      </c>
      <c r="M6773" t="s">
        <v>1172</v>
      </c>
    </row>
    <row r="6774" spans="3:13">
      <c r="C6774">
        <v>2100300025</v>
      </c>
      <c r="D6774">
        <v>6431000</v>
      </c>
      <c r="E6774" t="s">
        <v>188</v>
      </c>
      <c r="F6774">
        <v>5104010115</v>
      </c>
      <c r="G6774">
        <v>137.87</v>
      </c>
      <c r="I6774" t="s">
        <v>142</v>
      </c>
      <c r="J6774" t="s">
        <v>910</v>
      </c>
      <c r="K6774" t="s">
        <v>155</v>
      </c>
      <c r="L6774">
        <v>4700016728</v>
      </c>
    </row>
    <row r="6775" spans="3:13">
      <c r="C6775">
        <v>2100300025</v>
      </c>
      <c r="D6775">
        <v>6431000</v>
      </c>
      <c r="E6775" t="s">
        <v>188</v>
      </c>
      <c r="F6775">
        <v>5104010115</v>
      </c>
      <c r="G6775">
        <v>444.23</v>
      </c>
      <c r="I6775" t="s">
        <v>142</v>
      </c>
      <c r="J6775" t="s">
        <v>822</v>
      </c>
      <c r="K6775" t="s">
        <v>155</v>
      </c>
      <c r="L6775">
        <v>4700015822</v>
      </c>
      <c r="M6775" t="s">
        <v>1173</v>
      </c>
    </row>
    <row r="6776" spans="3:13">
      <c r="C6776">
        <v>2100300025</v>
      </c>
      <c r="D6776">
        <v>6431000</v>
      </c>
      <c r="E6776" t="s">
        <v>188</v>
      </c>
      <c r="F6776">
        <v>5104010115</v>
      </c>
      <c r="G6776">
        <v>463.8</v>
      </c>
      <c r="I6776" t="s">
        <v>142</v>
      </c>
      <c r="J6776" t="s">
        <v>822</v>
      </c>
      <c r="K6776" t="s">
        <v>155</v>
      </c>
      <c r="L6776">
        <v>4700016254</v>
      </c>
      <c r="M6776" t="s">
        <v>1174</v>
      </c>
    </row>
    <row r="6777" spans="3:13">
      <c r="C6777">
        <v>2100300025</v>
      </c>
      <c r="D6777">
        <v>6431000</v>
      </c>
      <c r="E6777" t="s">
        <v>188</v>
      </c>
      <c r="F6777">
        <v>5104010115</v>
      </c>
      <c r="G6777">
        <v>398.2</v>
      </c>
      <c r="I6777" t="s">
        <v>142</v>
      </c>
      <c r="J6777" t="s">
        <v>913</v>
      </c>
      <c r="K6777" t="s">
        <v>155</v>
      </c>
      <c r="L6777">
        <v>4700017216</v>
      </c>
      <c r="M6777" t="s">
        <v>1175</v>
      </c>
    </row>
    <row r="6778" spans="3:13">
      <c r="C6778">
        <v>2100300025</v>
      </c>
      <c r="D6778">
        <v>6431000</v>
      </c>
      <c r="E6778" t="s">
        <v>188</v>
      </c>
      <c r="F6778">
        <v>5104010115</v>
      </c>
      <c r="G6778">
        <v>68.91</v>
      </c>
      <c r="I6778" t="s">
        <v>142</v>
      </c>
      <c r="J6778" t="s">
        <v>903</v>
      </c>
      <c r="K6778" t="s">
        <v>155</v>
      </c>
      <c r="L6778">
        <v>4700016244</v>
      </c>
      <c r="M6778" t="s">
        <v>1176</v>
      </c>
    </row>
    <row r="6779" spans="3:13">
      <c r="C6779">
        <v>2100300025</v>
      </c>
      <c r="D6779">
        <v>6431000</v>
      </c>
      <c r="E6779" t="s">
        <v>188</v>
      </c>
      <c r="F6779">
        <v>5104010115</v>
      </c>
      <c r="G6779">
        <v>107</v>
      </c>
      <c r="I6779" t="s">
        <v>142</v>
      </c>
      <c r="J6779" t="s">
        <v>555</v>
      </c>
      <c r="K6779" t="s">
        <v>155</v>
      </c>
      <c r="L6779">
        <v>4700016198</v>
      </c>
      <c r="M6779" t="s">
        <v>1177</v>
      </c>
    </row>
    <row r="6780" spans="3:13">
      <c r="C6780">
        <v>2100300025</v>
      </c>
      <c r="D6780">
        <v>6431000</v>
      </c>
      <c r="E6780" t="s">
        <v>188</v>
      </c>
      <c r="F6780">
        <v>5104010115</v>
      </c>
      <c r="G6780">
        <v>24.02</v>
      </c>
      <c r="I6780" t="s">
        <v>142</v>
      </c>
      <c r="J6780" t="s">
        <v>555</v>
      </c>
      <c r="K6780" t="s">
        <v>155</v>
      </c>
      <c r="L6780">
        <v>4700016199</v>
      </c>
      <c r="M6780" t="s">
        <v>1178</v>
      </c>
    </row>
    <row r="6781" spans="3:13">
      <c r="C6781">
        <v>2100300025</v>
      </c>
      <c r="D6781">
        <v>6431000</v>
      </c>
      <c r="E6781" t="s">
        <v>188</v>
      </c>
      <c r="F6781">
        <v>5104010115</v>
      </c>
      <c r="G6781">
        <v>62.2</v>
      </c>
      <c r="I6781" t="s">
        <v>142</v>
      </c>
      <c r="J6781" t="s">
        <v>916</v>
      </c>
      <c r="K6781" t="s">
        <v>155</v>
      </c>
      <c r="L6781">
        <v>4700018818</v>
      </c>
      <c r="M6781" t="s">
        <v>1179</v>
      </c>
    </row>
    <row r="6782" spans="3:13">
      <c r="C6782">
        <v>2100300025</v>
      </c>
      <c r="D6782">
        <v>6431000</v>
      </c>
      <c r="E6782" t="s">
        <v>188</v>
      </c>
      <c r="F6782">
        <v>5104010115</v>
      </c>
      <c r="G6782">
        <v>73.010000000000005</v>
      </c>
      <c r="I6782" t="s">
        <v>142</v>
      </c>
      <c r="J6782" t="s">
        <v>916</v>
      </c>
      <c r="K6782" t="s">
        <v>155</v>
      </c>
      <c r="L6782">
        <v>4700019920</v>
      </c>
      <c r="M6782" t="s">
        <v>1180</v>
      </c>
    </row>
    <row r="6783" spans="3:13">
      <c r="C6783">
        <v>2100300025</v>
      </c>
      <c r="D6783">
        <v>6431000</v>
      </c>
      <c r="E6783" t="s">
        <v>188</v>
      </c>
      <c r="F6783">
        <v>5104010115</v>
      </c>
      <c r="G6783">
        <v>263.24</v>
      </c>
      <c r="I6783" t="s">
        <v>142</v>
      </c>
      <c r="J6783" t="s">
        <v>823</v>
      </c>
      <c r="K6783" t="s">
        <v>155</v>
      </c>
      <c r="L6783">
        <v>4700019153</v>
      </c>
      <c r="M6783" t="s">
        <v>1181</v>
      </c>
    </row>
    <row r="6784" spans="3:13">
      <c r="C6784">
        <v>2100300025</v>
      </c>
      <c r="D6784">
        <v>6431000</v>
      </c>
      <c r="E6784" t="s">
        <v>188</v>
      </c>
      <c r="F6784">
        <v>5104010115</v>
      </c>
      <c r="G6784" s="13">
        <v>1363</v>
      </c>
      <c r="I6784" t="s">
        <v>142</v>
      </c>
      <c r="J6784" t="s">
        <v>917</v>
      </c>
      <c r="K6784" t="s">
        <v>155</v>
      </c>
      <c r="L6784">
        <v>4700019994</v>
      </c>
      <c r="M6784" t="s">
        <v>1182</v>
      </c>
    </row>
    <row r="6785" spans="3:13">
      <c r="C6785">
        <v>2100300025</v>
      </c>
      <c r="D6785">
        <v>6431000</v>
      </c>
      <c r="E6785" t="s">
        <v>188</v>
      </c>
      <c r="F6785">
        <v>5104010115</v>
      </c>
      <c r="G6785">
        <v>486.06</v>
      </c>
      <c r="I6785" t="s">
        <v>142</v>
      </c>
      <c r="J6785" t="s">
        <v>914</v>
      </c>
      <c r="K6785" t="s">
        <v>155</v>
      </c>
      <c r="L6785">
        <v>4700020372</v>
      </c>
      <c r="M6785" t="s">
        <v>1183</v>
      </c>
    </row>
    <row r="6786" spans="3:13">
      <c r="C6786">
        <v>2100300025</v>
      </c>
      <c r="D6786">
        <v>6431000</v>
      </c>
      <c r="E6786" t="s">
        <v>188</v>
      </c>
      <c r="F6786">
        <v>5104010115</v>
      </c>
      <c r="G6786">
        <v>165.93</v>
      </c>
      <c r="I6786" t="s">
        <v>142</v>
      </c>
      <c r="J6786" t="s">
        <v>914</v>
      </c>
      <c r="K6786" t="s">
        <v>155</v>
      </c>
      <c r="L6786">
        <v>4700018735</v>
      </c>
      <c r="M6786" t="s">
        <v>1184</v>
      </c>
    </row>
    <row r="6787" spans="3:13">
      <c r="C6787">
        <v>2100300025</v>
      </c>
      <c r="D6787">
        <v>6431000</v>
      </c>
      <c r="E6787" t="s">
        <v>188</v>
      </c>
      <c r="F6787">
        <v>5104010115</v>
      </c>
      <c r="G6787">
        <v>154.71</v>
      </c>
      <c r="I6787" t="s">
        <v>142</v>
      </c>
      <c r="J6787" t="s">
        <v>1185</v>
      </c>
      <c r="K6787" t="s">
        <v>155</v>
      </c>
      <c r="L6787">
        <v>4700019795</v>
      </c>
      <c r="M6787" t="s">
        <v>1186</v>
      </c>
    </row>
    <row r="6788" spans="3:13">
      <c r="C6788">
        <v>2100300025</v>
      </c>
      <c r="D6788">
        <v>6431000</v>
      </c>
      <c r="E6788" t="s">
        <v>188</v>
      </c>
      <c r="F6788">
        <v>5104010115</v>
      </c>
      <c r="G6788">
        <v>20.38</v>
      </c>
      <c r="I6788" t="s">
        <v>142</v>
      </c>
      <c r="J6788" t="s">
        <v>1185</v>
      </c>
      <c r="K6788" t="s">
        <v>155</v>
      </c>
      <c r="L6788">
        <v>4700019674</v>
      </c>
      <c r="M6788" t="s">
        <v>1187</v>
      </c>
    </row>
    <row r="6789" spans="3:13">
      <c r="C6789">
        <v>2100300025</v>
      </c>
      <c r="D6789">
        <v>6431000</v>
      </c>
      <c r="E6789" t="s">
        <v>188</v>
      </c>
      <c r="F6789">
        <v>5104010115</v>
      </c>
      <c r="G6789">
        <v>999.42</v>
      </c>
      <c r="I6789" t="s">
        <v>142</v>
      </c>
      <c r="J6789" t="s">
        <v>799</v>
      </c>
      <c r="K6789" t="s">
        <v>155</v>
      </c>
      <c r="L6789">
        <v>4700017264</v>
      </c>
      <c r="M6789" t="s">
        <v>1188</v>
      </c>
    </row>
    <row r="6790" spans="3:13">
      <c r="C6790">
        <v>2100300025</v>
      </c>
      <c r="D6790">
        <v>6431000</v>
      </c>
      <c r="E6790" t="s">
        <v>188</v>
      </c>
      <c r="F6790">
        <v>5104010115</v>
      </c>
      <c r="G6790">
        <v>55.58</v>
      </c>
      <c r="I6790" t="s">
        <v>142</v>
      </c>
      <c r="J6790" t="s">
        <v>1189</v>
      </c>
      <c r="K6790" t="s">
        <v>155</v>
      </c>
      <c r="L6790">
        <v>4700019565</v>
      </c>
      <c r="M6790" t="s">
        <v>1190</v>
      </c>
    </row>
    <row r="6791" spans="3:13">
      <c r="C6791">
        <v>2100300025</v>
      </c>
      <c r="D6791">
        <v>6431000</v>
      </c>
      <c r="E6791" t="s">
        <v>188</v>
      </c>
      <c r="F6791">
        <v>5104010115</v>
      </c>
      <c r="G6791">
        <v>271.91000000000003</v>
      </c>
      <c r="I6791" t="s">
        <v>142</v>
      </c>
      <c r="J6791" t="s">
        <v>918</v>
      </c>
      <c r="K6791" t="s">
        <v>155</v>
      </c>
      <c r="L6791">
        <v>4700021109</v>
      </c>
      <c r="M6791" t="s">
        <v>1191</v>
      </c>
    </row>
    <row r="6792" spans="3:13">
      <c r="C6792">
        <v>2100300025</v>
      </c>
      <c r="D6792">
        <v>6431000</v>
      </c>
      <c r="E6792" t="s">
        <v>188</v>
      </c>
      <c r="F6792">
        <v>5104010115</v>
      </c>
      <c r="G6792">
        <v>355.09</v>
      </c>
      <c r="I6792" t="s">
        <v>142</v>
      </c>
      <c r="J6792" t="s">
        <v>918</v>
      </c>
      <c r="K6792" t="s">
        <v>155</v>
      </c>
      <c r="L6792">
        <v>4700021110</v>
      </c>
      <c r="M6792" t="s">
        <v>1192</v>
      </c>
    </row>
    <row r="6793" spans="3:13">
      <c r="C6793">
        <v>2100300025</v>
      </c>
      <c r="D6793">
        <v>6431000</v>
      </c>
      <c r="E6793" t="s">
        <v>188</v>
      </c>
      <c r="F6793">
        <v>5104010115</v>
      </c>
      <c r="G6793">
        <v>293.89999999999998</v>
      </c>
      <c r="I6793" t="s">
        <v>142</v>
      </c>
      <c r="J6793" t="s">
        <v>918</v>
      </c>
      <c r="K6793" t="s">
        <v>155</v>
      </c>
      <c r="L6793">
        <v>4700019355</v>
      </c>
      <c r="M6793" t="s">
        <v>1193</v>
      </c>
    </row>
    <row r="6794" spans="3:13">
      <c r="C6794">
        <v>2100300025</v>
      </c>
      <c r="D6794">
        <v>6431000</v>
      </c>
      <c r="E6794" t="s">
        <v>188</v>
      </c>
      <c r="F6794">
        <v>5104010115</v>
      </c>
      <c r="G6794" s="13">
        <v>1278.1199999999999</v>
      </c>
      <c r="I6794" t="s">
        <v>142</v>
      </c>
      <c r="J6794" t="s">
        <v>828</v>
      </c>
      <c r="K6794" t="s">
        <v>155</v>
      </c>
      <c r="L6794">
        <v>4700021298</v>
      </c>
      <c r="M6794" t="s">
        <v>1194</v>
      </c>
    </row>
    <row r="6795" spans="3:13">
      <c r="C6795">
        <v>2100300025</v>
      </c>
      <c r="D6795">
        <v>6431000</v>
      </c>
      <c r="E6795" t="s">
        <v>188</v>
      </c>
      <c r="F6795">
        <v>5104010115</v>
      </c>
      <c r="G6795">
        <v>31.08</v>
      </c>
      <c r="I6795" t="s">
        <v>142</v>
      </c>
      <c r="J6795" t="s">
        <v>828</v>
      </c>
      <c r="K6795" t="s">
        <v>155</v>
      </c>
      <c r="L6795">
        <v>4700022589</v>
      </c>
      <c r="M6795" t="s">
        <v>1195</v>
      </c>
    </row>
    <row r="6796" spans="3:13">
      <c r="C6796">
        <v>2100300025</v>
      </c>
      <c r="D6796">
        <v>6431000</v>
      </c>
      <c r="E6796" t="s">
        <v>188</v>
      </c>
      <c r="F6796">
        <v>5104010115</v>
      </c>
      <c r="G6796">
        <v>129.04</v>
      </c>
      <c r="I6796" t="s">
        <v>142</v>
      </c>
      <c r="J6796" t="s">
        <v>833</v>
      </c>
      <c r="K6796" t="s">
        <v>155</v>
      </c>
      <c r="L6796">
        <v>4700026301</v>
      </c>
      <c r="M6796" t="s">
        <v>1196</v>
      </c>
    </row>
    <row r="6797" spans="3:13">
      <c r="C6797">
        <v>2100300025</v>
      </c>
      <c r="D6797">
        <v>6431000</v>
      </c>
      <c r="E6797" t="s">
        <v>188</v>
      </c>
      <c r="F6797">
        <v>5104010115</v>
      </c>
      <c r="G6797" s="13">
        <v>2041.15</v>
      </c>
      <c r="I6797" t="s">
        <v>142</v>
      </c>
      <c r="J6797" t="s">
        <v>830</v>
      </c>
      <c r="K6797" t="s">
        <v>155</v>
      </c>
      <c r="L6797">
        <v>4700022180</v>
      </c>
      <c r="M6797" t="s">
        <v>1197</v>
      </c>
    </row>
    <row r="6798" spans="3:13">
      <c r="C6798">
        <v>2100300025</v>
      </c>
      <c r="D6798">
        <v>6431000</v>
      </c>
      <c r="E6798" t="s">
        <v>188</v>
      </c>
      <c r="F6798">
        <v>5104010115</v>
      </c>
      <c r="G6798">
        <v>254.83</v>
      </c>
      <c r="I6798" t="s">
        <v>142</v>
      </c>
      <c r="J6798" t="s">
        <v>564</v>
      </c>
      <c r="K6798" t="s">
        <v>155</v>
      </c>
      <c r="L6798">
        <v>4700022153</v>
      </c>
      <c r="M6798" t="s">
        <v>1198</v>
      </c>
    </row>
    <row r="6799" spans="3:13">
      <c r="C6799">
        <v>2100300025</v>
      </c>
      <c r="D6799">
        <v>6431000</v>
      </c>
      <c r="E6799" t="s">
        <v>188</v>
      </c>
      <c r="F6799">
        <v>5104010115</v>
      </c>
      <c r="G6799">
        <v>310.35000000000002</v>
      </c>
      <c r="I6799" t="s">
        <v>142</v>
      </c>
      <c r="J6799" t="s">
        <v>872</v>
      </c>
      <c r="K6799" t="s">
        <v>155</v>
      </c>
      <c r="L6799">
        <v>4700016775</v>
      </c>
      <c r="M6799" t="s">
        <v>1199</v>
      </c>
    </row>
    <row r="6800" spans="3:13">
      <c r="C6800">
        <v>2100300025</v>
      </c>
      <c r="D6800">
        <v>6431000</v>
      </c>
      <c r="E6800" t="s">
        <v>188</v>
      </c>
      <c r="F6800">
        <v>5104010115</v>
      </c>
      <c r="G6800" s="13">
        <v>3572.87</v>
      </c>
      <c r="I6800" t="s">
        <v>142</v>
      </c>
      <c r="J6800" t="s">
        <v>826</v>
      </c>
      <c r="K6800" t="s">
        <v>155</v>
      </c>
      <c r="L6800">
        <v>4700019302</v>
      </c>
      <c r="M6800" t="s">
        <v>1200</v>
      </c>
    </row>
    <row r="6801" spans="3:13">
      <c r="C6801">
        <v>2100300025</v>
      </c>
      <c r="D6801">
        <v>6431000</v>
      </c>
      <c r="E6801" t="s">
        <v>188</v>
      </c>
      <c r="F6801">
        <v>5104010115</v>
      </c>
      <c r="G6801">
        <v>101.92</v>
      </c>
      <c r="I6801" t="s">
        <v>142</v>
      </c>
      <c r="J6801" t="s">
        <v>1201</v>
      </c>
      <c r="K6801" t="s">
        <v>155</v>
      </c>
      <c r="L6801">
        <v>4700029383</v>
      </c>
      <c r="M6801" t="s">
        <v>1202</v>
      </c>
    </row>
    <row r="6802" spans="3:13">
      <c r="C6802">
        <v>2100300025</v>
      </c>
      <c r="D6802">
        <v>6431000</v>
      </c>
      <c r="E6802" t="s">
        <v>188</v>
      </c>
      <c r="F6802">
        <v>5104010115</v>
      </c>
      <c r="G6802">
        <v>115.49</v>
      </c>
      <c r="I6802" t="s">
        <v>142</v>
      </c>
      <c r="J6802" t="s">
        <v>1203</v>
      </c>
      <c r="K6802" t="s">
        <v>155</v>
      </c>
      <c r="L6802">
        <v>4700031432</v>
      </c>
      <c r="M6802" t="s">
        <v>1204</v>
      </c>
    </row>
    <row r="6803" spans="3:13">
      <c r="C6803">
        <v>2100300025</v>
      </c>
      <c r="D6803">
        <v>6431000</v>
      </c>
      <c r="E6803" t="s">
        <v>188</v>
      </c>
      <c r="F6803">
        <v>5104010115</v>
      </c>
      <c r="G6803">
        <v>67.87</v>
      </c>
      <c r="I6803" t="s">
        <v>142</v>
      </c>
      <c r="J6803" t="s">
        <v>951</v>
      </c>
      <c r="K6803" t="s">
        <v>155</v>
      </c>
      <c r="L6803">
        <v>4700035124</v>
      </c>
      <c r="M6803" t="s">
        <v>1205</v>
      </c>
    </row>
    <row r="6804" spans="3:13">
      <c r="C6804">
        <v>2100300025</v>
      </c>
      <c r="D6804">
        <v>6431000</v>
      </c>
      <c r="E6804" t="s">
        <v>188</v>
      </c>
      <c r="F6804">
        <v>5104010115</v>
      </c>
      <c r="G6804">
        <v>55.64</v>
      </c>
      <c r="I6804" t="s">
        <v>142</v>
      </c>
      <c r="J6804" t="s">
        <v>564</v>
      </c>
      <c r="K6804" t="s">
        <v>155</v>
      </c>
      <c r="L6804">
        <v>4700020898</v>
      </c>
      <c r="M6804" t="s">
        <v>1206</v>
      </c>
    </row>
    <row r="6805" spans="3:13">
      <c r="C6805">
        <v>2100300025</v>
      </c>
      <c r="D6805">
        <v>6431000</v>
      </c>
      <c r="E6805" t="s">
        <v>188</v>
      </c>
      <c r="F6805">
        <v>5104010115</v>
      </c>
      <c r="G6805" s="13">
        <v>1273.8900000000001</v>
      </c>
      <c r="I6805" t="s">
        <v>142</v>
      </c>
      <c r="J6805" t="s">
        <v>1207</v>
      </c>
      <c r="K6805" t="s">
        <v>155</v>
      </c>
      <c r="L6805">
        <v>4700008685</v>
      </c>
      <c r="M6805" t="s">
        <v>1208</v>
      </c>
    </row>
    <row r="6806" spans="3:13">
      <c r="C6806">
        <v>2100300025</v>
      </c>
      <c r="D6806">
        <v>6431000</v>
      </c>
      <c r="E6806" t="s">
        <v>188</v>
      </c>
      <c r="F6806">
        <v>5104010115</v>
      </c>
      <c r="G6806">
        <v>431.79</v>
      </c>
      <c r="I6806" t="s">
        <v>142</v>
      </c>
      <c r="J6806" t="s">
        <v>1207</v>
      </c>
      <c r="K6806" t="s">
        <v>155</v>
      </c>
      <c r="L6806">
        <v>4700008802</v>
      </c>
      <c r="M6806" t="s">
        <v>1209</v>
      </c>
    </row>
    <row r="6807" spans="3:13">
      <c r="C6807">
        <v>2100300025</v>
      </c>
      <c r="D6807">
        <v>6431000</v>
      </c>
      <c r="E6807" t="s">
        <v>188</v>
      </c>
      <c r="F6807">
        <v>5104010115</v>
      </c>
      <c r="G6807">
        <v>135.47999999999999</v>
      </c>
      <c r="I6807" t="s">
        <v>142</v>
      </c>
      <c r="J6807" t="s">
        <v>904</v>
      </c>
      <c r="K6807" t="s">
        <v>155</v>
      </c>
      <c r="L6807">
        <v>4700012165</v>
      </c>
      <c r="M6807" t="s">
        <v>1210</v>
      </c>
    </row>
    <row r="6808" spans="3:13">
      <c r="C6808">
        <v>2100300025</v>
      </c>
      <c r="D6808">
        <v>6431000</v>
      </c>
      <c r="E6808" t="s">
        <v>188</v>
      </c>
      <c r="F6808">
        <v>5104010115</v>
      </c>
      <c r="G6808">
        <v>331.9</v>
      </c>
      <c r="I6808" t="s">
        <v>142</v>
      </c>
      <c r="J6808" t="s">
        <v>904</v>
      </c>
      <c r="K6808" t="s">
        <v>155</v>
      </c>
      <c r="L6808">
        <v>4700012166</v>
      </c>
      <c r="M6808" t="s">
        <v>1211</v>
      </c>
    </row>
    <row r="6809" spans="3:13">
      <c r="C6809">
        <v>2100300025</v>
      </c>
      <c r="D6809">
        <v>6431000</v>
      </c>
      <c r="E6809" t="s">
        <v>188</v>
      </c>
      <c r="F6809">
        <v>5104010115</v>
      </c>
      <c r="G6809">
        <v>543.21</v>
      </c>
      <c r="I6809" t="s">
        <v>142</v>
      </c>
      <c r="J6809" t="s">
        <v>905</v>
      </c>
      <c r="K6809" t="s">
        <v>155</v>
      </c>
      <c r="L6809">
        <v>4700016377</v>
      </c>
      <c r="M6809" t="s">
        <v>1212</v>
      </c>
    </row>
    <row r="6810" spans="3:13">
      <c r="C6810">
        <v>2100300025</v>
      </c>
      <c r="D6810">
        <v>6431000</v>
      </c>
      <c r="E6810" t="s">
        <v>188</v>
      </c>
      <c r="F6810">
        <v>5104010115</v>
      </c>
      <c r="G6810">
        <v>802.94</v>
      </c>
      <c r="I6810" t="s">
        <v>142</v>
      </c>
      <c r="J6810" t="s">
        <v>819</v>
      </c>
      <c r="K6810" t="s">
        <v>155</v>
      </c>
      <c r="L6810">
        <v>4700018391</v>
      </c>
      <c r="M6810" t="s">
        <v>1213</v>
      </c>
    </row>
    <row r="6811" spans="3:13">
      <c r="C6811">
        <v>2100300025</v>
      </c>
      <c r="D6811">
        <v>6431000</v>
      </c>
      <c r="E6811" t="s">
        <v>188</v>
      </c>
      <c r="F6811">
        <v>5104010115</v>
      </c>
      <c r="G6811">
        <v>187.57</v>
      </c>
      <c r="I6811" t="s">
        <v>142</v>
      </c>
      <c r="J6811" t="s">
        <v>907</v>
      </c>
      <c r="K6811" t="s">
        <v>155</v>
      </c>
      <c r="L6811">
        <v>4700016134</v>
      </c>
      <c r="M6811" t="s">
        <v>1214</v>
      </c>
    </row>
    <row r="6812" spans="3:13">
      <c r="C6812">
        <v>2100300025</v>
      </c>
      <c r="D6812">
        <v>6431000</v>
      </c>
      <c r="E6812" t="s">
        <v>188</v>
      </c>
      <c r="F6812">
        <v>5104010115</v>
      </c>
      <c r="G6812">
        <v>49.2</v>
      </c>
      <c r="I6812" t="s">
        <v>142</v>
      </c>
      <c r="J6812" t="s">
        <v>820</v>
      </c>
      <c r="K6812" t="s">
        <v>155</v>
      </c>
      <c r="L6812">
        <v>4700012197</v>
      </c>
      <c r="M6812" t="s">
        <v>1215</v>
      </c>
    </row>
    <row r="6813" spans="3:13">
      <c r="C6813">
        <v>2100300025</v>
      </c>
      <c r="D6813">
        <v>6431000</v>
      </c>
      <c r="E6813" t="s">
        <v>188</v>
      </c>
      <c r="F6813">
        <v>5104010115</v>
      </c>
      <c r="G6813">
        <v>86.87</v>
      </c>
      <c r="I6813" t="s">
        <v>142</v>
      </c>
      <c r="J6813" t="s">
        <v>820</v>
      </c>
      <c r="K6813" t="s">
        <v>155</v>
      </c>
      <c r="L6813">
        <v>4700017882</v>
      </c>
      <c r="M6813" t="s">
        <v>1216</v>
      </c>
    </row>
    <row r="6814" spans="3:13">
      <c r="C6814">
        <v>2100300025</v>
      </c>
      <c r="D6814">
        <v>6431000</v>
      </c>
      <c r="E6814" t="s">
        <v>188</v>
      </c>
      <c r="F6814">
        <v>5104010115</v>
      </c>
      <c r="G6814">
        <v>667.23</v>
      </c>
      <c r="I6814" t="s">
        <v>142</v>
      </c>
      <c r="J6814" t="s">
        <v>911</v>
      </c>
      <c r="K6814" t="s">
        <v>155</v>
      </c>
      <c r="L6814">
        <v>4700000970</v>
      </c>
      <c r="M6814" t="s">
        <v>1217</v>
      </c>
    </row>
    <row r="6815" spans="3:13">
      <c r="C6815">
        <v>2100300025</v>
      </c>
      <c r="D6815">
        <v>6431000</v>
      </c>
      <c r="E6815" t="s">
        <v>188</v>
      </c>
      <c r="F6815">
        <v>5104010115</v>
      </c>
      <c r="G6815">
        <v>593.85</v>
      </c>
      <c r="I6815" t="s">
        <v>142</v>
      </c>
      <c r="J6815" t="s">
        <v>909</v>
      </c>
      <c r="K6815" t="s">
        <v>155</v>
      </c>
      <c r="L6815">
        <v>4700015709</v>
      </c>
      <c r="M6815" t="s">
        <v>1218</v>
      </c>
    </row>
    <row r="6816" spans="3:13">
      <c r="C6816">
        <v>2100300025</v>
      </c>
      <c r="D6816">
        <v>6431000</v>
      </c>
      <c r="E6816" t="s">
        <v>188</v>
      </c>
      <c r="F6816">
        <v>5104010115</v>
      </c>
      <c r="G6816">
        <v>159.38999999999999</v>
      </c>
      <c r="I6816" t="s">
        <v>142</v>
      </c>
      <c r="J6816" t="s">
        <v>909</v>
      </c>
      <c r="K6816" t="s">
        <v>155</v>
      </c>
      <c r="L6816">
        <v>4700016120</v>
      </c>
      <c r="M6816" t="s">
        <v>1219</v>
      </c>
    </row>
    <row r="6817" spans="3:13">
      <c r="C6817">
        <v>2100300025</v>
      </c>
      <c r="D6817">
        <v>6431000</v>
      </c>
      <c r="E6817" t="s">
        <v>188</v>
      </c>
      <c r="F6817">
        <v>5104010115</v>
      </c>
      <c r="G6817">
        <v>59.45</v>
      </c>
      <c r="I6817" t="s">
        <v>142</v>
      </c>
      <c r="J6817" t="s">
        <v>1010</v>
      </c>
      <c r="K6817" t="s">
        <v>155</v>
      </c>
      <c r="L6817">
        <v>4700017230</v>
      </c>
      <c r="M6817" t="s">
        <v>1220</v>
      </c>
    </row>
    <row r="6818" spans="3:13">
      <c r="C6818">
        <v>2100300025</v>
      </c>
      <c r="D6818">
        <v>6431000</v>
      </c>
      <c r="E6818" t="s">
        <v>188</v>
      </c>
      <c r="F6818">
        <v>5104010115</v>
      </c>
      <c r="G6818">
        <v>922.34</v>
      </c>
      <c r="I6818" t="s">
        <v>142</v>
      </c>
      <c r="J6818" t="s">
        <v>910</v>
      </c>
      <c r="K6818" t="s">
        <v>155</v>
      </c>
      <c r="L6818">
        <v>4700016729</v>
      </c>
      <c r="M6818" t="s">
        <v>1221</v>
      </c>
    </row>
    <row r="6819" spans="3:13">
      <c r="C6819">
        <v>2100300025</v>
      </c>
      <c r="D6819">
        <v>6431000</v>
      </c>
      <c r="E6819" t="s">
        <v>188</v>
      </c>
      <c r="F6819">
        <v>5104010115</v>
      </c>
      <c r="G6819">
        <v>119.16</v>
      </c>
      <c r="I6819" t="s">
        <v>142</v>
      </c>
      <c r="J6819" t="s">
        <v>821</v>
      </c>
      <c r="K6819" t="s">
        <v>155</v>
      </c>
      <c r="L6819">
        <v>4700017348</v>
      </c>
      <c r="M6819" t="s">
        <v>1222</v>
      </c>
    </row>
    <row r="6820" spans="3:13">
      <c r="C6820">
        <v>2100300025</v>
      </c>
      <c r="D6820">
        <v>6431000</v>
      </c>
      <c r="E6820" t="s">
        <v>188</v>
      </c>
      <c r="F6820">
        <v>5104010115</v>
      </c>
      <c r="G6820" s="13">
        <v>2609.88</v>
      </c>
      <c r="I6820" t="s">
        <v>142</v>
      </c>
      <c r="J6820" t="s">
        <v>821</v>
      </c>
      <c r="K6820" t="s">
        <v>155</v>
      </c>
      <c r="L6820">
        <v>4700017713</v>
      </c>
      <c r="M6820" t="s">
        <v>1223</v>
      </c>
    </row>
    <row r="6821" spans="3:13">
      <c r="C6821">
        <v>2100300025</v>
      </c>
      <c r="D6821">
        <v>6431000</v>
      </c>
      <c r="E6821" t="s">
        <v>188</v>
      </c>
      <c r="F6821">
        <v>5104010115</v>
      </c>
      <c r="G6821">
        <v>780.62</v>
      </c>
      <c r="I6821" t="s">
        <v>142</v>
      </c>
      <c r="J6821" t="s">
        <v>567</v>
      </c>
      <c r="K6821" t="s">
        <v>155</v>
      </c>
      <c r="L6821">
        <v>4700015849</v>
      </c>
      <c r="M6821" t="s">
        <v>1224</v>
      </c>
    </row>
    <row r="6822" spans="3:13">
      <c r="C6822">
        <v>2100300025</v>
      </c>
      <c r="D6822">
        <v>6431000</v>
      </c>
      <c r="E6822" t="s">
        <v>188</v>
      </c>
      <c r="F6822">
        <v>5104010115</v>
      </c>
      <c r="G6822">
        <v>761.75</v>
      </c>
      <c r="I6822" t="s">
        <v>142</v>
      </c>
      <c r="J6822" t="s">
        <v>902</v>
      </c>
      <c r="K6822" t="s">
        <v>155</v>
      </c>
      <c r="L6822">
        <v>4700013244</v>
      </c>
      <c r="M6822" t="s">
        <v>1225</v>
      </c>
    </row>
    <row r="6823" spans="3:13">
      <c r="C6823">
        <v>2100300025</v>
      </c>
      <c r="D6823">
        <v>6431000</v>
      </c>
      <c r="E6823" t="s">
        <v>188</v>
      </c>
      <c r="F6823">
        <v>5104010115</v>
      </c>
      <c r="G6823">
        <v>192.11</v>
      </c>
      <c r="I6823" t="s">
        <v>142</v>
      </c>
      <c r="J6823" t="s">
        <v>902</v>
      </c>
      <c r="K6823" t="s">
        <v>155</v>
      </c>
      <c r="L6823">
        <v>4700013245</v>
      </c>
      <c r="M6823" t="s">
        <v>1226</v>
      </c>
    </row>
    <row r="6824" spans="3:13">
      <c r="C6824">
        <v>2100300025</v>
      </c>
      <c r="D6824">
        <v>6431000</v>
      </c>
      <c r="E6824" t="s">
        <v>188</v>
      </c>
      <c r="F6824">
        <v>5104010115</v>
      </c>
      <c r="G6824">
        <v>505.76</v>
      </c>
      <c r="I6824" t="s">
        <v>142</v>
      </c>
      <c r="J6824" t="s">
        <v>915</v>
      </c>
      <c r="K6824" t="s">
        <v>155</v>
      </c>
      <c r="L6824">
        <v>4700019661</v>
      </c>
      <c r="M6824" t="s">
        <v>1227</v>
      </c>
    </row>
    <row r="6825" spans="3:13">
      <c r="C6825">
        <v>2100300025</v>
      </c>
      <c r="D6825">
        <v>6431000</v>
      </c>
      <c r="E6825" t="s">
        <v>188</v>
      </c>
      <c r="F6825">
        <v>5104010115</v>
      </c>
      <c r="G6825">
        <v>104.77</v>
      </c>
      <c r="I6825" t="s">
        <v>142</v>
      </c>
      <c r="J6825" t="s">
        <v>915</v>
      </c>
      <c r="K6825" t="s">
        <v>155</v>
      </c>
      <c r="L6825">
        <v>4700019662</v>
      </c>
      <c r="M6825" t="s">
        <v>1228</v>
      </c>
    </row>
    <row r="6826" spans="3:13">
      <c r="C6826">
        <v>2100300025</v>
      </c>
      <c r="D6826">
        <v>6431000</v>
      </c>
      <c r="E6826" t="s">
        <v>188</v>
      </c>
      <c r="F6826">
        <v>5104010115</v>
      </c>
      <c r="G6826">
        <v>75.040000000000006</v>
      </c>
      <c r="I6826" t="s">
        <v>142</v>
      </c>
      <c r="J6826" t="s">
        <v>823</v>
      </c>
      <c r="K6826" t="s">
        <v>155</v>
      </c>
      <c r="L6826">
        <v>4700018815</v>
      </c>
      <c r="M6826" t="s">
        <v>1229</v>
      </c>
    </row>
    <row r="6827" spans="3:13">
      <c r="C6827">
        <v>2100300025</v>
      </c>
      <c r="D6827">
        <v>6431000</v>
      </c>
      <c r="E6827" t="s">
        <v>188</v>
      </c>
      <c r="F6827">
        <v>5104010115</v>
      </c>
      <c r="G6827">
        <v>130.33000000000001</v>
      </c>
      <c r="I6827" t="s">
        <v>142</v>
      </c>
      <c r="J6827" t="s">
        <v>824</v>
      </c>
      <c r="K6827" t="s">
        <v>155</v>
      </c>
      <c r="L6827">
        <v>4700020922</v>
      </c>
      <c r="M6827" t="s">
        <v>1230</v>
      </c>
    </row>
    <row r="6828" spans="3:13">
      <c r="C6828">
        <v>2100300025</v>
      </c>
      <c r="D6828">
        <v>6431000</v>
      </c>
      <c r="E6828" t="s">
        <v>188</v>
      </c>
      <c r="F6828">
        <v>5104010115</v>
      </c>
      <c r="G6828">
        <v>427.69</v>
      </c>
      <c r="I6828" t="s">
        <v>142</v>
      </c>
      <c r="J6828" t="s">
        <v>826</v>
      </c>
      <c r="K6828" t="s">
        <v>155</v>
      </c>
      <c r="L6828">
        <v>4700018939</v>
      </c>
      <c r="M6828" t="s">
        <v>1231</v>
      </c>
    </row>
    <row r="6829" spans="3:13">
      <c r="C6829">
        <v>2100300025</v>
      </c>
      <c r="D6829">
        <v>6431000</v>
      </c>
      <c r="E6829" t="s">
        <v>188</v>
      </c>
      <c r="F6829">
        <v>5104010115</v>
      </c>
      <c r="G6829">
        <v>127.33</v>
      </c>
      <c r="I6829" t="s">
        <v>142</v>
      </c>
      <c r="J6829" t="s">
        <v>919</v>
      </c>
      <c r="K6829" t="s">
        <v>155</v>
      </c>
      <c r="L6829">
        <v>4700018949</v>
      </c>
      <c r="M6829" t="s">
        <v>1232</v>
      </c>
    </row>
    <row r="6830" spans="3:13">
      <c r="C6830">
        <v>2100300025</v>
      </c>
      <c r="D6830">
        <v>6431000</v>
      </c>
      <c r="E6830" t="s">
        <v>188</v>
      </c>
      <c r="F6830">
        <v>5104010115</v>
      </c>
      <c r="G6830">
        <v>284.60000000000002</v>
      </c>
      <c r="I6830" t="s">
        <v>142</v>
      </c>
      <c r="J6830" t="s">
        <v>919</v>
      </c>
      <c r="K6830" t="s">
        <v>155</v>
      </c>
      <c r="L6830">
        <v>4700018471</v>
      </c>
      <c r="M6830" t="s">
        <v>1233</v>
      </c>
    </row>
    <row r="6831" spans="3:13">
      <c r="C6831">
        <v>2100300025</v>
      </c>
      <c r="D6831">
        <v>6431000</v>
      </c>
      <c r="E6831" t="s">
        <v>188</v>
      </c>
      <c r="F6831">
        <v>5104010115</v>
      </c>
      <c r="G6831">
        <v>243.69</v>
      </c>
      <c r="I6831" t="s">
        <v>142</v>
      </c>
      <c r="J6831" t="s">
        <v>1234</v>
      </c>
      <c r="K6831" t="s">
        <v>155</v>
      </c>
      <c r="L6831">
        <v>4700021240</v>
      </c>
      <c r="M6831" t="s">
        <v>1235</v>
      </c>
    </row>
    <row r="6832" spans="3:13">
      <c r="C6832">
        <v>2100300025</v>
      </c>
      <c r="D6832">
        <v>6431000</v>
      </c>
      <c r="E6832" t="s">
        <v>188</v>
      </c>
      <c r="F6832">
        <v>5104010115</v>
      </c>
      <c r="G6832" s="13">
        <v>1409.04</v>
      </c>
      <c r="I6832" t="s">
        <v>142</v>
      </c>
      <c r="J6832" t="s">
        <v>1234</v>
      </c>
      <c r="K6832" t="s">
        <v>155</v>
      </c>
      <c r="L6832">
        <v>4700021706</v>
      </c>
      <c r="M6832" t="s">
        <v>1236</v>
      </c>
    </row>
    <row r="6833" spans="3:13">
      <c r="C6833">
        <v>2100300025</v>
      </c>
      <c r="D6833">
        <v>6431000</v>
      </c>
      <c r="E6833" t="s">
        <v>188</v>
      </c>
      <c r="F6833">
        <v>5104010115</v>
      </c>
      <c r="G6833" s="13">
        <v>1605</v>
      </c>
      <c r="I6833" t="s">
        <v>142</v>
      </c>
      <c r="J6833" t="s">
        <v>920</v>
      </c>
      <c r="K6833" t="s">
        <v>155</v>
      </c>
      <c r="L6833">
        <v>4700019974</v>
      </c>
      <c r="M6833" t="s">
        <v>1237</v>
      </c>
    </row>
    <row r="6834" spans="3:13">
      <c r="C6834">
        <v>2100300025</v>
      </c>
      <c r="D6834">
        <v>6431000</v>
      </c>
      <c r="E6834" t="s">
        <v>188</v>
      </c>
      <c r="F6834">
        <v>5104010115</v>
      </c>
      <c r="G6834">
        <v>241.26</v>
      </c>
      <c r="I6834" t="s">
        <v>142</v>
      </c>
      <c r="J6834" t="s">
        <v>825</v>
      </c>
      <c r="K6834" t="s">
        <v>155</v>
      </c>
      <c r="L6834">
        <v>4700020400</v>
      </c>
      <c r="M6834" t="s">
        <v>1238</v>
      </c>
    </row>
    <row r="6835" spans="3:13">
      <c r="C6835">
        <v>2100300025</v>
      </c>
      <c r="D6835">
        <v>6431000</v>
      </c>
      <c r="E6835" t="s">
        <v>188</v>
      </c>
      <c r="F6835">
        <v>5104010115</v>
      </c>
      <c r="G6835">
        <v>33.909999999999997</v>
      </c>
      <c r="I6835" t="s">
        <v>142</v>
      </c>
      <c r="J6835" t="s">
        <v>825</v>
      </c>
      <c r="K6835" t="s">
        <v>155</v>
      </c>
      <c r="L6835">
        <v>4700020901</v>
      </c>
      <c r="M6835" t="s">
        <v>1187</v>
      </c>
    </row>
    <row r="6836" spans="3:13">
      <c r="C6836">
        <v>2100300025</v>
      </c>
      <c r="D6836">
        <v>6431000</v>
      </c>
      <c r="E6836" t="s">
        <v>188</v>
      </c>
      <c r="F6836">
        <v>5104010115</v>
      </c>
      <c r="G6836" s="13">
        <v>1348.1</v>
      </c>
      <c r="I6836" t="s">
        <v>142</v>
      </c>
      <c r="J6836" t="s">
        <v>1239</v>
      </c>
      <c r="K6836" t="s">
        <v>155</v>
      </c>
      <c r="L6836">
        <v>4700020837</v>
      </c>
      <c r="M6836" t="s">
        <v>1240</v>
      </c>
    </row>
    <row r="6837" spans="3:13">
      <c r="C6837">
        <v>2100300025</v>
      </c>
      <c r="D6837">
        <v>6431000</v>
      </c>
      <c r="E6837" t="s">
        <v>188</v>
      </c>
      <c r="F6837">
        <v>5104010115</v>
      </c>
      <c r="G6837">
        <v>222.43</v>
      </c>
      <c r="I6837" t="s">
        <v>142</v>
      </c>
      <c r="J6837" t="s">
        <v>1189</v>
      </c>
      <c r="K6837" t="s">
        <v>155</v>
      </c>
      <c r="L6837">
        <v>4700020063</v>
      </c>
      <c r="M6837" t="s">
        <v>1241</v>
      </c>
    </row>
    <row r="6838" spans="3:13">
      <c r="C6838">
        <v>2100300025</v>
      </c>
      <c r="D6838">
        <v>6431000</v>
      </c>
      <c r="E6838" t="s">
        <v>188</v>
      </c>
      <c r="F6838">
        <v>5104010115</v>
      </c>
      <c r="G6838">
        <v>215.44</v>
      </c>
      <c r="I6838" t="s">
        <v>142</v>
      </c>
      <c r="J6838" t="s">
        <v>827</v>
      </c>
      <c r="K6838" t="s">
        <v>155</v>
      </c>
      <c r="L6838">
        <v>4700021066</v>
      </c>
      <c r="M6838" t="s">
        <v>1240</v>
      </c>
    </row>
    <row r="6839" spans="3:13">
      <c r="C6839">
        <v>2100300025</v>
      </c>
      <c r="D6839">
        <v>6431000</v>
      </c>
      <c r="E6839" t="s">
        <v>188</v>
      </c>
      <c r="F6839">
        <v>5104010115</v>
      </c>
      <c r="G6839">
        <v>425.55</v>
      </c>
      <c r="I6839" t="s">
        <v>142</v>
      </c>
      <c r="J6839" t="s">
        <v>827</v>
      </c>
      <c r="K6839" t="s">
        <v>155</v>
      </c>
      <c r="L6839">
        <v>4700021067</v>
      </c>
      <c r="M6839" t="s">
        <v>1235</v>
      </c>
    </row>
    <row r="6840" spans="3:13">
      <c r="C6840">
        <v>2100300025</v>
      </c>
      <c r="D6840">
        <v>6431000</v>
      </c>
      <c r="E6840" t="s">
        <v>188</v>
      </c>
      <c r="F6840">
        <v>5104010115</v>
      </c>
      <c r="G6840">
        <v>67.22</v>
      </c>
      <c r="I6840" t="s">
        <v>142</v>
      </c>
      <c r="J6840" t="s">
        <v>874</v>
      </c>
      <c r="K6840" t="s">
        <v>155</v>
      </c>
      <c r="L6840">
        <v>4700021584</v>
      </c>
      <c r="M6840" t="s">
        <v>1242</v>
      </c>
    </row>
    <row r="6841" spans="3:13">
      <c r="C6841">
        <v>2100300025</v>
      </c>
      <c r="D6841">
        <v>6431000</v>
      </c>
      <c r="E6841" t="s">
        <v>188</v>
      </c>
      <c r="F6841">
        <v>5104010115</v>
      </c>
      <c r="G6841">
        <v>116.81</v>
      </c>
      <c r="I6841" t="s">
        <v>142</v>
      </c>
      <c r="J6841" t="s">
        <v>874</v>
      </c>
      <c r="K6841" t="s">
        <v>155</v>
      </c>
      <c r="L6841">
        <v>4700021585</v>
      </c>
      <c r="M6841" t="s">
        <v>1243</v>
      </c>
    </row>
    <row r="6842" spans="3:13">
      <c r="C6842">
        <v>2100300025</v>
      </c>
      <c r="D6842">
        <v>6431000</v>
      </c>
      <c r="E6842" t="s">
        <v>188</v>
      </c>
      <c r="F6842">
        <v>5104010115</v>
      </c>
      <c r="G6842" s="13">
        <v>2598</v>
      </c>
      <c r="I6842" t="s">
        <v>142</v>
      </c>
      <c r="J6842" t="s">
        <v>1001</v>
      </c>
      <c r="K6842" t="s">
        <v>155</v>
      </c>
      <c r="L6842">
        <v>4700023250</v>
      </c>
      <c r="M6842" t="s">
        <v>1244</v>
      </c>
    </row>
    <row r="6843" spans="3:13">
      <c r="C6843">
        <v>2100300025</v>
      </c>
      <c r="D6843">
        <v>6431000</v>
      </c>
      <c r="E6843" t="s">
        <v>188</v>
      </c>
      <c r="F6843">
        <v>5104010115</v>
      </c>
      <c r="G6843">
        <v>111.64</v>
      </c>
      <c r="I6843" t="s">
        <v>142</v>
      </c>
      <c r="J6843" t="s">
        <v>829</v>
      </c>
      <c r="K6843" t="s">
        <v>155</v>
      </c>
      <c r="L6843">
        <v>4700018081</v>
      </c>
      <c r="M6843" t="s">
        <v>1245</v>
      </c>
    </row>
    <row r="6844" spans="3:13">
      <c r="C6844">
        <v>2100300025</v>
      </c>
      <c r="D6844">
        <v>6431000</v>
      </c>
      <c r="E6844" t="s">
        <v>188</v>
      </c>
      <c r="F6844">
        <v>5104010115</v>
      </c>
      <c r="G6844">
        <v>118.8</v>
      </c>
      <c r="I6844" t="s">
        <v>142</v>
      </c>
      <c r="J6844" t="s">
        <v>829</v>
      </c>
      <c r="K6844" t="s">
        <v>155</v>
      </c>
      <c r="L6844">
        <v>4700023078</v>
      </c>
      <c r="M6844" t="s">
        <v>1246</v>
      </c>
    </row>
    <row r="6845" spans="3:13">
      <c r="C6845">
        <v>2100300025</v>
      </c>
      <c r="D6845">
        <v>6431000</v>
      </c>
      <c r="E6845" t="s">
        <v>188</v>
      </c>
      <c r="F6845">
        <v>5104010115</v>
      </c>
      <c r="G6845">
        <v>18.62</v>
      </c>
      <c r="I6845" t="s">
        <v>142</v>
      </c>
      <c r="J6845" t="s">
        <v>830</v>
      </c>
      <c r="K6845" t="s">
        <v>155</v>
      </c>
      <c r="L6845">
        <v>4700021875</v>
      </c>
      <c r="M6845" t="s">
        <v>1247</v>
      </c>
    </row>
    <row r="6846" spans="3:13">
      <c r="C6846">
        <v>2100300025</v>
      </c>
      <c r="D6846">
        <v>6431000</v>
      </c>
      <c r="E6846" t="s">
        <v>188</v>
      </c>
      <c r="F6846">
        <v>5104010115</v>
      </c>
      <c r="G6846">
        <v>212.36</v>
      </c>
      <c r="I6846" t="s">
        <v>142</v>
      </c>
      <c r="J6846" t="s">
        <v>926</v>
      </c>
      <c r="K6846" t="s">
        <v>155</v>
      </c>
      <c r="L6846">
        <v>4700024471</v>
      </c>
      <c r="M6846" t="s">
        <v>1248</v>
      </c>
    </row>
    <row r="6847" spans="3:13">
      <c r="C6847">
        <v>2100300025</v>
      </c>
      <c r="D6847">
        <v>6431000</v>
      </c>
      <c r="E6847" t="s">
        <v>188</v>
      </c>
      <c r="F6847">
        <v>5104010115</v>
      </c>
      <c r="G6847">
        <v>404.86</v>
      </c>
      <c r="I6847" t="s">
        <v>142</v>
      </c>
      <c r="J6847" t="s">
        <v>801</v>
      </c>
      <c r="K6847" t="s">
        <v>155</v>
      </c>
      <c r="L6847">
        <v>4700023226</v>
      </c>
      <c r="M6847" t="s">
        <v>1249</v>
      </c>
    </row>
    <row r="6848" spans="3:13">
      <c r="C6848">
        <v>2100300025</v>
      </c>
      <c r="D6848">
        <v>6431000</v>
      </c>
      <c r="E6848" t="s">
        <v>188</v>
      </c>
      <c r="F6848">
        <v>5104010115</v>
      </c>
      <c r="G6848">
        <v>9.59</v>
      </c>
      <c r="I6848" t="s">
        <v>142</v>
      </c>
      <c r="J6848" t="s">
        <v>801</v>
      </c>
      <c r="K6848" t="s">
        <v>155</v>
      </c>
      <c r="L6848">
        <v>4700023227</v>
      </c>
      <c r="M6848" t="s">
        <v>1250</v>
      </c>
    </row>
    <row r="6849" spans="3:13">
      <c r="C6849">
        <v>2100300025</v>
      </c>
      <c r="D6849">
        <v>6431000</v>
      </c>
      <c r="E6849" t="s">
        <v>188</v>
      </c>
      <c r="F6849">
        <v>5104010115</v>
      </c>
      <c r="G6849">
        <v>327.98</v>
      </c>
      <c r="I6849" t="s">
        <v>142</v>
      </c>
      <c r="J6849" t="s">
        <v>925</v>
      </c>
      <c r="K6849" t="s">
        <v>155</v>
      </c>
      <c r="L6849">
        <v>4700023897</v>
      </c>
      <c r="M6849" t="s">
        <v>1251</v>
      </c>
    </row>
    <row r="6850" spans="3:13">
      <c r="C6850">
        <v>2100300025</v>
      </c>
      <c r="D6850">
        <v>6431000</v>
      </c>
      <c r="E6850" t="s">
        <v>188</v>
      </c>
      <c r="F6850">
        <v>5104010115</v>
      </c>
      <c r="G6850">
        <v>44.17</v>
      </c>
      <c r="I6850" t="s">
        <v>142</v>
      </c>
      <c r="J6850" t="s">
        <v>925</v>
      </c>
      <c r="K6850" t="s">
        <v>155</v>
      </c>
      <c r="L6850">
        <v>4700024013</v>
      </c>
      <c r="M6850" t="s">
        <v>1252</v>
      </c>
    </row>
    <row r="6851" spans="3:13">
      <c r="C6851">
        <v>2100300025</v>
      </c>
      <c r="D6851">
        <v>6431000</v>
      </c>
      <c r="E6851" t="s">
        <v>188</v>
      </c>
      <c r="F6851">
        <v>5104010115</v>
      </c>
      <c r="G6851">
        <v>328.01</v>
      </c>
      <c r="I6851" t="s">
        <v>142</v>
      </c>
      <c r="J6851" t="s">
        <v>833</v>
      </c>
      <c r="K6851" t="s">
        <v>155</v>
      </c>
      <c r="L6851">
        <v>4700020482</v>
      </c>
      <c r="M6851" t="s">
        <v>1253</v>
      </c>
    </row>
    <row r="6852" spans="3:13">
      <c r="C6852">
        <v>2100300025</v>
      </c>
      <c r="D6852">
        <v>6431000</v>
      </c>
      <c r="E6852" t="s">
        <v>188</v>
      </c>
      <c r="F6852">
        <v>5104010115</v>
      </c>
      <c r="G6852">
        <v>545.67999999999995</v>
      </c>
      <c r="I6852" t="s">
        <v>142</v>
      </c>
      <c r="J6852" t="s">
        <v>832</v>
      </c>
      <c r="K6852" t="s">
        <v>155</v>
      </c>
      <c r="L6852">
        <v>4700024723</v>
      </c>
      <c r="M6852" t="s">
        <v>1254</v>
      </c>
    </row>
    <row r="6853" spans="3:13">
      <c r="C6853">
        <v>2100300025</v>
      </c>
      <c r="D6853">
        <v>6431000</v>
      </c>
      <c r="E6853" t="s">
        <v>188</v>
      </c>
      <c r="F6853">
        <v>5104010115</v>
      </c>
      <c r="G6853">
        <v>98.99</v>
      </c>
      <c r="I6853" t="s">
        <v>142</v>
      </c>
      <c r="J6853" t="s">
        <v>927</v>
      </c>
      <c r="K6853" t="s">
        <v>155</v>
      </c>
      <c r="L6853">
        <v>4700023205</v>
      </c>
      <c r="M6853" t="s">
        <v>1255</v>
      </c>
    </row>
    <row r="6854" spans="3:13">
      <c r="C6854">
        <v>2100300025</v>
      </c>
      <c r="D6854">
        <v>6431000</v>
      </c>
      <c r="E6854" t="s">
        <v>188</v>
      </c>
      <c r="F6854">
        <v>5104010115</v>
      </c>
      <c r="G6854">
        <v>447.07</v>
      </c>
      <c r="I6854" t="s">
        <v>142</v>
      </c>
      <c r="J6854" t="s">
        <v>921</v>
      </c>
      <c r="K6854" t="s">
        <v>155</v>
      </c>
      <c r="L6854">
        <v>4700022445</v>
      </c>
      <c r="M6854" t="s">
        <v>1256</v>
      </c>
    </row>
    <row r="6855" spans="3:13">
      <c r="C6855">
        <v>2100300025</v>
      </c>
      <c r="D6855">
        <v>6431000</v>
      </c>
      <c r="E6855" t="s">
        <v>188</v>
      </c>
      <c r="F6855">
        <v>5104010115</v>
      </c>
      <c r="G6855">
        <v>63.45</v>
      </c>
      <c r="I6855" t="s">
        <v>142</v>
      </c>
      <c r="J6855" t="s">
        <v>921</v>
      </c>
      <c r="K6855" t="s">
        <v>155</v>
      </c>
      <c r="L6855">
        <v>4700022930</v>
      </c>
      <c r="M6855" t="s">
        <v>1257</v>
      </c>
    </row>
    <row r="6856" spans="3:13">
      <c r="C6856">
        <v>2100300025</v>
      </c>
      <c r="D6856">
        <v>6431000</v>
      </c>
      <c r="E6856" t="s">
        <v>188</v>
      </c>
      <c r="F6856">
        <v>5104010115</v>
      </c>
      <c r="G6856">
        <v>66.64</v>
      </c>
      <c r="I6856" t="s">
        <v>142</v>
      </c>
      <c r="J6856" t="s">
        <v>563</v>
      </c>
      <c r="K6856" t="s">
        <v>155</v>
      </c>
      <c r="L6856">
        <v>4700025227</v>
      </c>
      <c r="M6856" t="s">
        <v>1258</v>
      </c>
    </row>
    <row r="6857" spans="3:13">
      <c r="C6857">
        <v>2100300025</v>
      </c>
      <c r="D6857">
        <v>6431000</v>
      </c>
      <c r="E6857" t="s">
        <v>188</v>
      </c>
      <c r="F6857">
        <v>5104010115</v>
      </c>
      <c r="G6857">
        <v>90.97</v>
      </c>
      <c r="I6857" t="s">
        <v>142</v>
      </c>
      <c r="J6857" t="s">
        <v>924</v>
      </c>
      <c r="K6857" t="s">
        <v>155</v>
      </c>
      <c r="L6857">
        <v>4700024679</v>
      </c>
      <c r="M6857" t="s">
        <v>1259</v>
      </c>
    </row>
    <row r="6858" spans="3:13">
      <c r="C6858">
        <v>2100300025</v>
      </c>
      <c r="D6858">
        <v>6431000</v>
      </c>
      <c r="E6858" t="s">
        <v>188</v>
      </c>
      <c r="F6858">
        <v>5104010115</v>
      </c>
      <c r="G6858">
        <v>52.13</v>
      </c>
      <c r="I6858" t="s">
        <v>142</v>
      </c>
      <c r="J6858" t="s">
        <v>579</v>
      </c>
      <c r="K6858" t="s">
        <v>155</v>
      </c>
      <c r="L6858">
        <v>4700027107</v>
      </c>
      <c r="M6858" t="s">
        <v>1260</v>
      </c>
    </row>
    <row r="6859" spans="3:13">
      <c r="C6859">
        <v>2100300025</v>
      </c>
      <c r="D6859">
        <v>6431000</v>
      </c>
      <c r="E6859" t="s">
        <v>188</v>
      </c>
      <c r="F6859">
        <v>5104010115</v>
      </c>
      <c r="G6859">
        <v>955.56</v>
      </c>
      <c r="I6859" t="s">
        <v>142</v>
      </c>
      <c r="J6859" t="s">
        <v>931</v>
      </c>
      <c r="K6859" t="s">
        <v>155</v>
      </c>
      <c r="L6859">
        <v>4700025947</v>
      </c>
      <c r="M6859" t="s">
        <v>1261</v>
      </c>
    </row>
    <row r="6860" spans="3:13">
      <c r="C6860">
        <v>2100300025</v>
      </c>
      <c r="D6860">
        <v>6431000</v>
      </c>
      <c r="E6860" t="s">
        <v>188</v>
      </c>
      <c r="F6860">
        <v>5104010115</v>
      </c>
      <c r="G6860">
        <v>61.53</v>
      </c>
      <c r="I6860" t="s">
        <v>142</v>
      </c>
      <c r="J6860" t="s">
        <v>931</v>
      </c>
      <c r="K6860" t="s">
        <v>155</v>
      </c>
      <c r="L6860">
        <v>4700027395</v>
      </c>
      <c r="M6860" t="s">
        <v>1262</v>
      </c>
    </row>
    <row r="6861" spans="3:13">
      <c r="C6861">
        <v>2100300025</v>
      </c>
      <c r="D6861">
        <v>6431000</v>
      </c>
      <c r="E6861" t="s">
        <v>188</v>
      </c>
      <c r="F6861">
        <v>5104010115</v>
      </c>
      <c r="G6861">
        <v>105.91</v>
      </c>
      <c r="I6861" t="s">
        <v>142</v>
      </c>
      <c r="J6861" t="s">
        <v>931</v>
      </c>
      <c r="K6861" t="s">
        <v>155</v>
      </c>
      <c r="L6861">
        <v>4700027535</v>
      </c>
      <c r="M6861" t="s">
        <v>1263</v>
      </c>
    </row>
    <row r="6862" spans="3:13">
      <c r="C6862">
        <v>2100300025</v>
      </c>
      <c r="D6862">
        <v>6431000</v>
      </c>
      <c r="E6862" t="s">
        <v>188</v>
      </c>
      <c r="F6862">
        <v>5104010115</v>
      </c>
      <c r="G6862">
        <v>118.97</v>
      </c>
      <c r="I6862" t="s">
        <v>142</v>
      </c>
      <c r="J6862" t="s">
        <v>834</v>
      </c>
      <c r="K6862" t="s">
        <v>155</v>
      </c>
      <c r="L6862">
        <v>4700026180</v>
      </c>
      <c r="M6862" t="s">
        <v>1264</v>
      </c>
    </row>
    <row r="6863" spans="3:13">
      <c r="C6863">
        <v>2100300025</v>
      </c>
      <c r="D6863">
        <v>6431000</v>
      </c>
      <c r="E6863" t="s">
        <v>188</v>
      </c>
      <c r="F6863">
        <v>5104010115</v>
      </c>
      <c r="G6863" s="13">
        <v>3482.71</v>
      </c>
      <c r="I6863" t="s">
        <v>142</v>
      </c>
      <c r="J6863" t="s">
        <v>834</v>
      </c>
      <c r="K6863" t="s">
        <v>155</v>
      </c>
      <c r="L6863">
        <v>4700026509</v>
      </c>
      <c r="M6863" t="s">
        <v>1265</v>
      </c>
    </row>
    <row r="6864" spans="3:13">
      <c r="C6864">
        <v>2100300025</v>
      </c>
      <c r="D6864">
        <v>6431000</v>
      </c>
      <c r="E6864" t="s">
        <v>188</v>
      </c>
      <c r="F6864">
        <v>5104010115</v>
      </c>
      <c r="G6864">
        <v>10.15</v>
      </c>
      <c r="I6864" t="s">
        <v>142</v>
      </c>
      <c r="J6864" t="s">
        <v>935</v>
      </c>
      <c r="K6864" t="s">
        <v>155</v>
      </c>
      <c r="L6864">
        <v>4700028621</v>
      </c>
      <c r="M6864" t="s">
        <v>1266</v>
      </c>
    </row>
    <row r="6865" spans="3:13">
      <c r="C6865">
        <v>2100300025</v>
      </c>
      <c r="D6865">
        <v>6431000</v>
      </c>
      <c r="E6865" t="s">
        <v>188</v>
      </c>
      <c r="F6865">
        <v>5104010115</v>
      </c>
      <c r="G6865">
        <v>485.79</v>
      </c>
      <c r="I6865" t="s">
        <v>142</v>
      </c>
      <c r="J6865" t="s">
        <v>1203</v>
      </c>
      <c r="K6865" t="s">
        <v>155</v>
      </c>
      <c r="L6865">
        <v>4700031433</v>
      </c>
      <c r="M6865" t="s">
        <v>1267</v>
      </c>
    </row>
    <row r="6866" spans="3:13">
      <c r="C6866">
        <v>2100300025</v>
      </c>
      <c r="D6866">
        <v>6431000</v>
      </c>
      <c r="E6866" t="s">
        <v>188</v>
      </c>
      <c r="F6866">
        <v>5104010115</v>
      </c>
      <c r="G6866" s="13">
        <v>1762.18</v>
      </c>
      <c r="I6866" t="s">
        <v>142</v>
      </c>
      <c r="J6866" t="s">
        <v>840</v>
      </c>
      <c r="K6866" t="s">
        <v>155</v>
      </c>
      <c r="L6866">
        <v>4700030450</v>
      </c>
      <c r="M6866" t="s">
        <v>1268</v>
      </c>
    </row>
    <row r="6867" spans="3:13">
      <c r="C6867">
        <v>2100300025</v>
      </c>
      <c r="D6867">
        <v>6431000</v>
      </c>
      <c r="E6867" t="s">
        <v>188</v>
      </c>
      <c r="F6867">
        <v>5104010115</v>
      </c>
      <c r="G6867">
        <v>158.29</v>
      </c>
      <c r="I6867" t="s">
        <v>142</v>
      </c>
      <c r="J6867" t="s">
        <v>841</v>
      </c>
      <c r="K6867" t="s">
        <v>155</v>
      </c>
      <c r="L6867">
        <v>4700031087</v>
      </c>
      <c r="M6867" t="s">
        <v>1269</v>
      </c>
    </row>
    <row r="6868" spans="3:13">
      <c r="C6868">
        <v>2100300025</v>
      </c>
      <c r="D6868">
        <v>6431000</v>
      </c>
      <c r="E6868" t="s">
        <v>188</v>
      </c>
      <c r="F6868">
        <v>5104010115</v>
      </c>
      <c r="G6868">
        <v>37.82</v>
      </c>
      <c r="I6868" t="s">
        <v>142</v>
      </c>
      <c r="J6868" t="s">
        <v>1270</v>
      </c>
      <c r="K6868" t="s">
        <v>155</v>
      </c>
      <c r="L6868">
        <v>4700030294</v>
      </c>
      <c r="M6868" t="s">
        <v>1271</v>
      </c>
    </row>
    <row r="6869" spans="3:13">
      <c r="C6869">
        <v>2100300025</v>
      </c>
      <c r="D6869">
        <v>6431000</v>
      </c>
      <c r="E6869" t="s">
        <v>188</v>
      </c>
      <c r="F6869">
        <v>5104010115</v>
      </c>
      <c r="G6869">
        <v>10.92</v>
      </c>
      <c r="I6869" t="s">
        <v>142</v>
      </c>
      <c r="J6869" t="s">
        <v>944</v>
      </c>
      <c r="K6869" t="s">
        <v>155</v>
      </c>
      <c r="L6869">
        <v>4700031687</v>
      </c>
      <c r="M6869" t="s">
        <v>1272</v>
      </c>
    </row>
    <row r="6870" spans="3:13">
      <c r="C6870">
        <v>2100300025</v>
      </c>
      <c r="D6870">
        <v>6431000</v>
      </c>
      <c r="E6870" t="s">
        <v>188</v>
      </c>
      <c r="F6870">
        <v>5104010115</v>
      </c>
      <c r="G6870">
        <v>25.17</v>
      </c>
      <c r="I6870" t="s">
        <v>142</v>
      </c>
      <c r="J6870" t="s">
        <v>946</v>
      </c>
      <c r="K6870" t="s">
        <v>155</v>
      </c>
      <c r="L6870">
        <v>4700034290</v>
      </c>
      <c r="M6870" t="s">
        <v>1273</v>
      </c>
    </row>
    <row r="6871" spans="3:13">
      <c r="C6871">
        <v>2100300025</v>
      </c>
      <c r="D6871">
        <v>6431000</v>
      </c>
      <c r="E6871" t="s">
        <v>188</v>
      </c>
      <c r="F6871">
        <v>5104010115</v>
      </c>
      <c r="G6871">
        <v>224.31</v>
      </c>
      <c r="I6871" t="s">
        <v>142</v>
      </c>
      <c r="J6871" t="s">
        <v>946</v>
      </c>
      <c r="K6871" t="s">
        <v>155</v>
      </c>
      <c r="L6871">
        <v>4700034291</v>
      </c>
      <c r="M6871" t="s">
        <v>1274</v>
      </c>
    </row>
    <row r="6872" spans="3:13">
      <c r="C6872">
        <v>2100300025</v>
      </c>
      <c r="D6872">
        <v>6431000</v>
      </c>
      <c r="E6872" t="s">
        <v>188</v>
      </c>
      <c r="F6872">
        <v>5104010115</v>
      </c>
      <c r="G6872">
        <v>55.42</v>
      </c>
      <c r="I6872" t="s">
        <v>142</v>
      </c>
      <c r="J6872" t="s">
        <v>554</v>
      </c>
      <c r="K6872" t="s">
        <v>155</v>
      </c>
      <c r="L6872">
        <v>4700023562</v>
      </c>
      <c r="M6872" t="s">
        <v>1275</v>
      </c>
    </row>
    <row r="6873" spans="3:13">
      <c r="C6873">
        <v>2100300025</v>
      </c>
      <c r="D6873">
        <v>6431000</v>
      </c>
      <c r="E6873" t="s">
        <v>188</v>
      </c>
      <c r="F6873">
        <v>5104010115</v>
      </c>
      <c r="G6873">
        <v>201.2</v>
      </c>
      <c r="I6873" t="s">
        <v>142</v>
      </c>
      <c r="J6873" t="s">
        <v>948</v>
      </c>
      <c r="K6873" t="s">
        <v>155</v>
      </c>
      <c r="L6873">
        <v>4700031777</v>
      </c>
      <c r="M6873" t="s">
        <v>1276</v>
      </c>
    </row>
    <row r="6874" spans="3:13">
      <c r="C6874">
        <v>2100300025</v>
      </c>
      <c r="D6874">
        <v>6431000</v>
      </c>
      <c r="E6874" t="s">
        <v>188</v>
      </c>
      <c r="F6874">
        <v>5104010115</v>
      </c>
      <c r="G6874">
        <v>290.2</v>
      </c>
      <c r="I6874" t="s">
        <v>142</v>
      </c>
      <c r="J6874" t="s">
        <v>1277</v>
      </c>
      <c r="K6874" t="s">
        <v>155</v>
      </c>
      <c r="L6874">
        <v>4700034834</v>
      </c>
      <c r="M6874" t="s">
        <v>1278</v>
      </c>
    </row>
    <row r="6875" spans="3:13">
      <c r="C6875">
        <v>2100300025</v>
      </c>
      <c r="D6875">
        <v>6431000</v>
      </c>
      <c r="E6875" t="s">
        <v>188</v>
      </c>
      <c r="F6875">
        <v>5104010115</v>
      </c>
      <c r="G6875">
        <v>56.42</v>
      </c>
      <c r="I6875" t="s">
        <v>142</v>
      </c>
      <c r="J6875" t="s">
        <v>559</v>
      </c>
      <c r="K6875" t="s">
        <v>155</v>
      </c>
      <c r="L6875">
        <v>4700034084</v>
      </c>
      <c r="M6875" t="s">
        <v>1279</v>
      </c>
    </row>
    <row r="6876" spans="3:13">
      <c r="C6876">
        <v>2100300025</v>
      </c>
      <c r="D6876">
        <v>6431000</v>
      </c>
      <c r="E6876" t="s">
        <v>188</v>
      </c>
      <c r="F6876">
        <v>5104010115</v>
      </c>
      <c r="G6876">
        <v>32.64</v>
      </c>
      <c r="I6876" t="s">
        <v>142</v>
      </c>
      <c r="J6876" t="s">
        <v>860</v>
      </c>
      <c r="K6876" t="s">
        <v>155</v>
      </c>
      <c r="L6876">
        <v>4700035691</v>
      </c>
      <c r="M6876" t="s">
        <v>1280</v>
      </c>
    </row>
    <row r="6877" spans="3:13">
      <c r="C6877">
        <v>2100300025</v>
      </c>
      <c r="D6877">
        <v>6431000</v>
      </c>
      <c r="E6877" t="s">
        <v>188</v>
      </c>
      <c r="F6877">
        <v>5104010115</v>
      </c>
      <c r="G6877">
        <v>248.22</v>
      </c>
      <c r="I6877" t="s">
        <v>142</v>
      </c>
      <c r="J6877" t="s">
        <v>863</v>
      </c>
      <c r="K6877" t="s">
        <v>155</v>
      </c>
      <c r="L6877">
        <v>4700045469</v>
      </c>
      <c r="M6877" t="s">
        <v>1281</v>
      </c>
    </row>
    <row r="6878" spans="3:13">
      <c r="C6878">
        <v>2100300025</v>
      </c>
      <c r="D6878">
        <v>6431000</v>
      </c>
      <c r="E6878" t="s">
        <v>188</v>
      </c>
      <c r="F6878">
        <v>5104010115</v>
      </c>
      <c r="G6878">
        <v>20.98</v>
      </c>
      <c r="I6878" t="s">
        <v>142</v>
      </c>
      <c r="J6878" t="s">
        <v>984</v>
      </c>
      <c r="K6878" t="s">
        <v>155</v>
      </c>
      <c r="L6878">
        <v>4700042118</v>
      </c>
      <c r="M6878" t="s">
        <v>1282</v>
      </c>
    </row>
    <row r="6879" spans="3:13">
      <c r="C6879">
        <v>2100300025</v>
      </c>
      <c r="D6879">
        <v>6431000</v>
      </c>
      <c r="E6879" t="s">
        <v>188</v>
      </c>
      <c r="F6879">
        <v>5104010115</v>
      </c>
      <c r="G6879">
        <v>25.78</v>
      </c>
      <c r="I6879" t="s">
        <v>142</v>
      </c>
      <c r="J6879" t="s">
        <v>1277</v>
      </c>
      <c r="K6879" t="s">
        <v>155</v>
      </c>
      <c r="L6879">
        <v>4700034749</v>
      </c>
      <c r="M6879" t="s">
        <v>1283</v>
      </c>
    </row>
    <row r="6880" spans="3:13">
      <c r="C6880">
        <v>2100300025</v>
      </c>
      <c r="D6880">
        <v>6431000</v>
      </c>
      <c r="E6880" t="s">
        <v>188</v>
      </c>
      <c r="F6880">
        <v>5104010115</v>
      </c>
      <c r="G6880">
        <v>45.2</v>
      </c>
      <c r="I6880" t="s">
        <v>142</v>
      </c>
      <c r="J6880" t="s">
        <v>832</v>
      </c>
      <c r="K6880" t="s">
        <v>155</v>
      </c>
      <c r="L6880">
        <v>4700024724</v>
      </c>
      <c r="M6880" t="s">
        <v>1284</v>
      </c>
    </row>
    <row r="6881" spans="3:13">
      <c r="C6881">
        <v>2100300025</v>
      </c>
      <c r="D6881">
        <v>6431000</v>
      </c>
      <c r="E6881" t="s">
        <v>188</v>
      </c>
      <c r="F6881">
        <v>5104010115</v>
      </c>
      <c r="G6881">
        <v>158.63</v>
      </c>
      <c r="I6881" t="s">
        <v>142</v>
      </c>
      <c r="J6881" t="s">
        <v>927</v>
      </c>
      <c r="K6881" t="s">
        <v>155</v>
      </c>
      <c r="L6881">
        <v>4700022454</v>
      </c>
      <c r="M6881" t="s">
        <v>1285</v>
      </c>
    </row>
    <row r="6882" spans="3:13">
      <c r="C6882">
        <v>2100300025</v>
      </c>
      <c r="D6882">
        <v>6431000</v>
      </c>
      <c r="E6882" t="s">
        <v>188</v>
      </c>
      <c r="F6882">
        <v>5104010115</v>
      </c>
      <c r="G6882">
        <v>225.42</v>
      </c>
      <c r="I6882" t="s">
        <v>142</v>
      </c>
      <c r="J6882" t="s">
        <v>928</v>
      </c>
      <c r="K6882" t="s">
        <v>155</v>
      </c>
      <c r="L6882">
        <v>4700023288</v>
      </c>
      <c r="M6882" t="s">
        <v>1286</v>
      </c>
    </row>
    <row r="6883" spans="3:13">
      <c r="C6883">
        <v>2100300025</v>
      </c>
      <c r="D6883">
        <v>6431000</v>
      </c>
      <c r="E6883" t="s">
        <v>188</v>
      </c>
      <c r="F6883">
        <v>5104010115</v>
      </c>
      <c r="G6883">
        <v>224.71</v>
      </c>
      <c r="I6883" t="s">
        <v>142</v>
      </c>
      <c r="J6883" t="s">
        <v>929</v>
      </c>
      <c r="K6883" t="s">
        <v>155</v>
      </c>
      <c r="L6883">
        <v>4700024513</v>
      </c>
      <c r="M6883" t="s">
        <v>1287</v>
      </c>
    </row>
    <row r="6884" spans="3:13">
      <c r="C6884">
        <v>2100300025</v>
      </c>
      <c r="D6884">
        <v>6431000</v>
      </c>
      <c r="E6884" t="s">
        <v>188</v>
      </c>
      <c r="F6884">
        <v>5104010115</v>
      </c>
      <c r="G6884">
        <v>69.599999999999994</v>
      </c>
      <c r="I6884" t="s">
        <v>142</v>
      </c>
      <c r="J6884" t="s">
        <v>929</v>
      </c>
      <c r="K6884" t="s">
        <v>155</v>
      </c>
      <c r="L6884">
        <v>4700024441</v>
      </c>
      <c r="M6884" t="s">
        <v>1288</v>
      </c>
    </row>
    <row r="6885" spans="3:13">
      <c r="C6885">
        <v>2100300025</v>
      </c>
      <c r="D6885">
        <v>6431000</v>
      </c>
      <c r="E6885" t="s">
        <v>188</v>
      </c>
      <c r="F6885">
        <v>5104010115</v>
      </c>
      <c r="G6885">
        <v>111.28</v>
      </c>
      <c r="I6885" t="s">
        <v>142</v>
      </c>
      <c r="J6885" t="s">
        <v>922</v>
      </c>
      <c r="K6885" t="s">
        <v>155</v>
      </c>
      <c r="L6885">
        <v>4700023517</v>
      </c>
      <c r="M6885" t="s">
        <v>1289</v>
      </c>
    </row>
    <row r="6886" spans="3:13">
      <c r="C6886">
        <v>2100300025</v>
      </c>
      <c r="D6886">
        <v>6431000</v>
      </c>
      <c r="E6886" t="s">
        <v>188</v>
      </c>
      <c r="F6886">
        <v>5104010115</v>
      </c>
      <c r="G6886">
        <v>10</v>
      </c>
      <c r="I6886" t="s">
        <v>142</v>
      </c>
      <c r="J6886" t="s">
        <v>922</v>
      </c>
      <c r="K6886" t="s">
        <v>155</v>
      </c>
      <c r="L6886">
        <v>4700023449</v>
      </c>
      <c r="M6886" t="s">
        <v>1290</v>
      </c>
    </row>
    <row r="6887" spans="3:13">
      <c r="C6887">
        <v>2100300025</v>
      </c>
      <c r="D6887">
        <v>6431000</v>
      </c>
      <c r="E6887" t="s">
        <v>188</v>
      </c>
      <c r="F6887">
        <v>5104010115</v>
      </c>
      <c r="G6887">
        <v>379.43</v>
      </c>
      <c r="I6887" t="s">
        <v>142</v>
      </c>
      <c r="J6887" t="s">
        <v>922</v>
      </c>
      <c r="K6887" t="s">
        <v>155</v>
      </c>
      <c r="L6887">
        <v>4700022651</v>
      </c>
      <c r="M6887" t="s">
        <v>1121</v>
      </c>
    </row>
    <row r="6888" spans="3:13">
      <c r="C6888">
        <v>2100300025</v>
      </c>
      <c r="D6888">
        <v>6431000</v>
      </c>
      <c r="E6888" t="s">
        <v>188</v>
      </c>
      <c r="F6888">
        <v>5104010115</v>
      </c>
      <c r="G6888">
        <v>75.16</v>
      </c>
      <c r="I6888" t="s">
        <v>142</v>
      </c>
      <c r="J6888" t="s">
        <v>1291</v>
      </c>
      <c r="K6888" t="s">
        <v>155</v>
      </c>
      <c r="L6888">
        <v>4700024283</v>
      </c>
      <c r="M6888" t="s">
        <v>1292</v>
      </c>
    </row>
    <row r="6889" spans="3:13">
      <c r="C6889">
        <v>2100300025</v>
      </c>
      <c r="D6889">
        <v>6431000</v>
      </c>
      <c r="E6889" t="s">
        <v>188</v>
      </c>
      <c r="F6889">
        <v>5104010115</v>
      </c>
      <c r="G6889">
        <v>81.93</v>
      </c>
      <c r="I6889" t="s">
        <v>142</v>
      </c>
      <c r="J6889" t="s">
        <v>1291</v>
      </c>
      <c r="K6889" t="s">
        <v>155</v>
      </c>
      <c r="L6889">
        <v>4700024284</v>
      </c>
      <c r="M6889" t="s">
        <v>1293</v>
      </c>
    </row>
    <row r="6890" spans="3:13">
      <c r="C6890">
        <v>2100300025</v>
      </c>
      <c r="D6890">
        <v>6431000</v>
      </c>
      <c r="E6890" t="s">
        <v>188</v>
      </c>
      <c r="F6890">
        <v>5104010115</v>
      </c>
      <c r="G6890">
        <v>119.31</v>
      </c>
      <c r="I6890" t="s">
        <v>142</v>
      </c>
      <c r="J6890" t="s">
        <v>923</v>
      </c>
      <c r="K6890" t="s">
        <v>155</v>
      </c>
      <c r="L6890">
        <v>4700024114</v>
      </c>
      <c r="M6890" t="s">
        <v>1294</v>
      </c>
    </row>
    <row r="6891" spans="3:13">
      <c r="C6891">
        <v>2100300025</v>
      </c>
      <c r="D6891">
        <v>6431000</v>
      </c>
      <c r="E6891" t="s">
        <v>188</v>
      </c>
      <c r="F6891">
        <v>5104010115</v>
      </c>
      <c r="G6891">
        <v>22.72</v>
      </c>
      <c r="I6891" t="s">
        <v>142</v>
      </c>
      <c r="J6891" t="s">
        <v>924</v>
      </c>
      <c r="K6891" t="s">
        <v>155</v>
      </c>
      <c r="L6891">
        <v>4700024678</v>
      </c>
      <c r="M6891" t="s">
        <v>1295</v>
      </c>
    </row>
    <row r="6892" spans="3:13">
      <c r="C6892">
        <v>2100300025</v>
      </c>
      <c r="D6892">
        <v>6431000</v>
      </c>
      <c r="E6892" t="s">
        <v>188</v>
      </c>
      <c r="F6892">
        <v>5104010115</v>
      </c>
      <c r="G6892">
        <v>255.56</v>
      </c>
      <c r="I6892" t="s">
        <v>142</v>
      </c>
      <c r="J6892" t="s">
        <v>831</v>
      </c>
      <c r="K6892" t="s">
        <v>155</v>
      </c>
      <c r="L6892">
        <v>4700026402</v>
      </c>
      <c r="M6892" t="s">
        <v>1296</v>
      </c>
    </row>
    <row r="6893" spans="3:13">
      <c r="C6893">
        <v>2100300025</v>
      </c>
      <c r="D6893">
        <v>6431000</v>
      </c>
      <c r="E6893" t="s">
        <v>188</v>
      </c>
      <c r="F6893">
        <v>5104010115</v>
      </c>
      <c r="G6893">
        <v>600.66</v>
      </c>
      <c r="I6893" t="s">
        <v>142</v>
      </c>
      <c r="J6893" t="s">
        <v>831</v>
      </c>
      <c r="K6893" t="s">
        <v>155</v>
      </c>
      <c r="L6893">
        <v>4700026701</v>
      </c>
      <c r="M6893" t="s">
        <v>1297</v>
      </c>
    </row>
    <row r="6894" spans="3:13">
      <c r="C6894">
        <v>2100300025</v>
      </c>
      <c r="D6894">
        <v>6431000</v>
      </c>
      <c r="E6894" t="s">
        <v>188</v>
      </c>
      <c r="F6894">
        <v>5104010115</v>
      </c>
      <c r="G6894">
        <v>18.190000000000001</v>
      </c>
      <c r="I6894" t="s">
        <v>142</v>
      </c>
      <c r="J6894" t="s">
        <v>579</v>
      </c>
      <c r="K6894" t="s">
        <v>155</v>
      </c>
      <c r="L6894">
        <v>4700026216</v>
      </c>
      <c r="M6894" t="s">
        <v>1298</v>
      </c>
    </row>
    <row r="6895" spans="3:13">
      <c r="C6895">
        <v>2100300025</v>
      </c>
      <c r="D6895">
        <v>6431000</v>
      </c>
      <c r="E6895" t="s">
        <v>188</v>
      </c>
      <c r="F6895">
        <v>5104010115</v>
      </c>
      <c r="G6895">
        <v>96.76</v>
      </c>
      <c r="I6895" t="s">
        <v>142</v>
      </c>
      <c r="J6895" t="s">
        <v>932</v>
      </c>
      <c r="K6895" t="s">
        <v>155</v>
      </c>
      <c r="L6895">
        <v>4700027353</v>
      </c>
      <c r="M6895" t="s">
        <v>1299</v>
      </c>
    </row>
    <row r="6896" spans="3:13">
      <c r="C6896">
        <v>2100300025</v>
      </c>
      <c r="D6896">
        <v>6431000</v>
      </c>
      <c r="E6896" t="s">
        <v>188</v>
      </c>
      <c r="F6896">
        <v>5104010115</v>
      </c>
      <c r="G6896">
        <v>75.260000000000005</v>
      </c>
      <c r="I6896" t="s">
        <v>142</v>
      </c>
      <c r="J6896" t="s">
        <v>932</v>
      </c>
      <c r="K6896" t="s">
        <v>155</v>
      </c>
      <c r="L6896">
        <v>4700027516</v>
      </c>
      <c r="M6896" t="s">
        <v>1300</v>
      </c>
    </row>
    <row r="6897" spans="3:13">
      <c r="C6897">
        <v>2100300025</v>
      </c>
      <c r="D6897">
        <v>6431000</v>
      </c>
      <c r="E6897" t="s">
        <v>188</v>
      </c>
      <c r="F6897">
        <v>5104010115</v>
      </c>
      <c r="G6897">
        <v>24.14</v>
      </c>
      <c r="I6897" t="s">
        <v>142</v>
      </c>
      <c r="J6897" t="s">
        <v>836</v>
      </c>
      <c r="K6897" t="s">
        <v>155</v>
      </c>
      <c r="L6897">
        <v>4700028357</v>
      </c>
      <c r="M6897" t="s">
        <v>1301</v>
      </c>
    </row>
    <row r="6898" spans="3:13">
      <c r="C6898">
        <v>2100300025</v>
      </c>
      <c r="D6898">
        <v>6431000</v>
      </c>
      <c r="E6898" t="s">
        <v>188</v>
      </c>
      <c r="F6898">
        <v>5104010115</v>
      </c>
      <c r="G6898">
        <v>305.77</v>
      </c>
      <c r="I6898" t="s">
        <v>142</v>
      </c>
      <c r="J6898" t="s">
        <v>836</v>
      </c>
      <c r="K6898" t="s">
        <v>155</v>
      </c>
      <c r="L6898">
        <v>4700028358</v>
      </c>
      <c r="M6898" t="s">
        <v>1302</v>
      </c>
    </row>
    <row r="6899" spans="3:13">
      <c r="C6899">
        <v>2100300025</v>
      </c>
      <c r="D6899">
        <v>6431000</v>
      </c>
      <c r="E6899" t="s">
        <v>188</v>
      </c>
      <c r="F6899">
        <v>5104010115</v>
      </c>
      <c r="G6899">
        <v>35.200000000000003</v>
      </c>
      <c r="I6899" t="s">
        <v>142</v>
      </c>
      <c r="J6899" t="s">
        <v>933</v>
      </c>
      <c r="K6899" t="s">
        <v>155</v>
      </c>
      <c r="L6899">
        <v>4700028088</v>
      </c>
      <c r="M6899" t="s">
        <v>1303</v>
      </c>
    </row>
    <row r="6900" spans="3:13">
      <c r="C6900">
        <v>2100300025</v>
      </c>
      <c r="D6900">
        <v>6431000</v>
      </c>
      <c r="E6900" t="s">
        <v>188</v>
      </c>
      <c r="F6900">
        <v>5104010115</v>
      </c>
      <c r="G6900">
        <v>77.040000000000006</v>
      </c>
      <c r="I6900" t="s">
        <v>142</v>
      </c>
      <c r="J6900" t="s">
        <v>935</v>
      </c>
      <c r="K6900" t="s">
        <v>155</v>
      </c>
      <c r="L6900">
        <v>4700028727</v>
      </c>
      <c r="M6900" t="s">
        <v>1304</v>
      </c>
    </row>
    <row r="6901" spans="3:13">
      <c r="C6901">
        <v>2100300025</v>
      </c>
      <c r="D6901">
        <v>6431000</v>
      </c>
      <c r="E6901" t="s">
        <v>188</v>
      </c>
      <c r="F6901">
        <v>5104010115</v>
      </c>
      <c r="G6901">
        <v>18.73</v>
      </c>
      <c r="I6901" t="s">
        <v>142</v>
      </c>
      <c r="J6901" t="s">
        <v>835</v>
      </c>
      <c r="K6901" t="s">
        <v>155</v>
      </c>
      <c r="L6901">
        <v>4700028205</v>
      </c>
      <c r="M6901" t="s">
        <v>1305</v>
      </c>
    </row>
    <row r="6902" spans="3:13">
      <c r="C6902">
        <v>2100300025</v>
      </c>
      <c r="D6902">
        <v>6431000</v>
      </c>
      <c r="E6902" t="s">
        <v>188</v>
      </c>
      <c r="F6902">
        <v>5104010115</v>
      </c>
      <c r="G6902">
        <v>105.01</v>
      </c>
      <c r="I6902" t="s">
        <v>142</v>
      </c>
      <c r="J6902" t="s">
        <v>936</v>
      </c>
      <c r="K6902" t="s">
        <v>155</v>
      </c>
      <c r="L6902">
        <v>4700027899</v>
      </c>
      <c r="M6902" t="s">
        <v>1306</v>
      </c>
    </row>
    <row r="6903" spans="3:13">
      <c r="C6903">
        <v>2100300025</v>
      </c>
      <c r="D6903">
        <v>6431000</v>
      </c>
      <c r="E6903" t="s">
        <v>188</v>
      </c>
      <c r="F6903">
        <v>5104010115</v>
      </c>
      <c r="G6903">
        <v>10.53</v>
      </c>
      <c r="I6903" t="s">
        <v>142</v>
      </c>
      <c r="J6903" t="s">
        <v>837</v>
      </c>
      <c r="K6903" t="s">
        <v>155</v>
      </c>
      <c r="L6903">
        <v>4700024996</v>
      </c>
      <c r="M6903" t="s">
        <v>1307</v>
      </c>
    </row>
    <row r="6904" spans="3:13">
      <c r="C6904">
        <v>2100300025</v>
      </c>
      <c r="D6904">
        <v>6431000</v>
      </c>
      <c r="E6904" t="s">
        <v>188</v>
      </c>
      <c r="F6904">
        <v>5104010115</v>
      </c>
      <c r="G6904" s="13">
        <v>1777.01</v>
      </c>
      <c r="I6904" t="s">
        <v>142</v>
      </c>
      <c r="J6904" t="s">
        <v>839</v>
      </c>
      <c r="K6904" t="s">
        <v>155</v>
      </c>
      <c r="L6904">
        <v>4700027783</v>
      </c>
      <c r="M6904" t="s">
        <v>1308</v>
      </c>
    </row>
    <row r="6905" spans="3:13">
      <c r="C6905">
        <v>2100300025</v>
      </c>
      <c r="D6905">
        <v>6431000</v>
      </c>
      <c r="E6905" t="s">
        <v>188</v>
      </c>
      <c r="F6905">
        <v>5104010115</v>
      </c>
      <c r="G6905">
        <v>119.32</v>
      </c>
      <c r="I6905" t="s">
        <v>142</v>
      </c>
      <c r="J6905" t="s">
        <v>839</v>
      </c>
      <c r="K6905" t="s">
        <v>155</v>
      </c>
      <c r="L6905">
        <v>4700027784</v>
      </c>
      <c r="M6905" t="s">
        <v>1309</v>
      </c>
    </row>
    <row r="6906" spans="3:13">
      <c r="C6906">
        <v>2100300025</v>
      </c>
      <c r="D6906">
        <v>6431000</v>
      </c>
      <c r="E6906" t="s">
        <v>188</v>
      </c>
      <c r="F6906">
        <v>5104010115</v>
      </c>
      <c r="G6906">
        <v>44.68</v>
      </c>
      <c r="I6906" t="s">
        <v>142</v>
      </c>
      <c r="J6906" t="s">
        <v>838</v>
      </c>
      <c r="K6906" t="s">
        <v>155</v>
      </c>
      <c r="L6906">
        <v>4700029087</v>
      </c>
      <c r="M6906" t="s">
        <v>1310</v>
      </c>
    </row>
    <row r="6907" spans="3:13">
      <c r="C6907">
        <v>2100300025</v>
      </c>
      <c r="D6907">
        <v>6431000</v>
      </c>
      <c r="E6907" t="s">
        <v>188</v>
      </c>
      <c r="F6907">
        <v>5104010115</v>
      </c>
      <c r="G6907">
        <v>36.71</v>
      </c>
      <c r="I6907" t="s">
        <v>142</v>
      </c>
      <c r="J6907" t="s">
        <v>937</v>
      </c>
      <c r="K6907" t="s">
        <v>155</v>
      </c>
      <c r="L6907">
        <v>4700028606</v>
      </c>
      <c r="M6907" t="s">
        <v>1311</v>
      </c>
    </row>
    <row r="6908" spans="3:13">
      <c r="C6908">
        <v>2100300025</v>
      </c>
      <c r="D6908">
        <v>6431000</v>
      </c>
      <c r="E6908" t="s">
        <v>188</v>
      </c>
      <c r="F6908">
        <v>5104010115</v>
      </c>
      <c r="G6908">
        <v>381.58</v>
      </c>
      <c r="I6908" t="s">
        <v>142</v>
      </c>
      <c r="J6908" t="s">
        <v>938</v>
      </c>
      <c r="K6908" t="s">
        <v>155</v>
      </c>
      <c r="L6908">
        <v>4700029070</v>
      </c>
      <c r="M6908" t="s">
        <v>1312</v>
      </c>
    </row>
    <row r="6909" spans="3:13">
      <c r="C6909">
        <v>2100300025</v>
      </c>
      <c r="D6909">
        <v>6431000</v>
      </c>
      <c r="E6909" t="s">
        <v>188</v>
      </c>
      <c r="F6909">
        <v>5104010115</v>
      </c>
      <c r="G6909" s="13">
        <v>1934.4</v>
      </c>
      <c r="I6909" t="s">
        <v>142</v>
      </c>
      <c r="J6909" t="s">
        <v>930</v>
      </c>
      <c r="K6909" t="s">
        <v>155</v>
      </c>
      <c r="L6909">
        <v>4700026289</v>
      </c>
      <c r="M6909" t="s">
        <v>1313</v>
      </c>
    </row>
    <row r="6910" spans="3:13">
      <c r="C6910">
        <v>2100300025</v>
      </c>
      <c r="D6910">
        <v>6431000</v>
      </c>
      <c r="E6910" t="s">
        <v>188</v>
      </c>
      <c r="F6910">
        <v>5104010115</v>
      </c>
      <c r="G6910">
        <v>156.1</v>
      </c>
      <c r="I6910" t="s">
        <v>142</v>
      </c>
      <c r="J6910" t="s">
        <v>581</v>
      </c>
      <c r="K6910" t="s">
        <v>155</v>
      </c>
      <c r="L6910">
        <v>4700026478</v>
      </c>
      <c r="M6910" t="s">
        <v>1314</v>
      </c>
    </row>
    <row r="6911" spans="3:13">
      <c r="C6911">
        <v>2100300025</v>
      </c>
      <c r="D6911">
        <v>6431000</v>
      </c>
      <c r="E6911" t="s">
        <v>188</v>
      </c>
      <c r="F6911">
        <v>5104010115</v>
      </c>
      <c r="G6911">
        <v>44.94</v>
      </c>
      <c r="I6911" t="s">
        <v>142</v>
      </c>
      <c r="J6911" t="s">
        <v>581</v>
      </c>
      <c r="K6911" t="s">
        <v>155</v>
      </c>
      <c r="L6911">
        <v>4700026479</v>
      </c>
      <c r="M6911" t="s">
        <v>1315</v>
      </c>
    </row>
    <row r="6912" spans="3:13">
      <c r="C6912">
        <v>2100300025</v>
      </c>
      <c r="D6912">
        <v>6431000</v>
      </c>
      <c r="E6912" t="s">
        <v>188</v>
      </c>
      <c r="F6912">
        <v>5104010115</v>
      </c>
      <c r="G6912" s="13">
        <v>1402.43</v>
      </c>
      <c r="I6912" t="s">
        <v>142</v>
      </c>
      <c r="J6912" t="s">
        <v>840</v>
      </c>
      <c r="K6912" t="s">
        <v>155</v>
      </c>
      <c r="L6912">
        <v>4700030451</v>
      </c>
      <c r="M6912" t="s">
        <v>1316</v>
      </c>
    </row>
    <row r="6913" spans="3:13">
      <c r="C6913">
        <v>2100300025</v>
      </c>
      <c r="D6913">
        <v>6431000</v>
      </c>
      <c r="E6913" t="s">
        <v>188</v>
      </c>
      <c r="F6913">
        <v>5104010115</v>
      </c>
      <c r="G6913">
        <v>38.25</v>
      </c>
      <c r="I6913" t="s">
        <v>142</v>
      </c>
      <c r="J6913" t="s">
        <v>941</v>
      </c>
      <c r="K6913" t="s">
        <v>155</v>
      </c>
      <c r="L6913">
        <v>4700027052</v>
      </c>
      <c r="M6913" t="s">
        <v>1317</v>
      </c>
    </row>
    <row r="6914" spans="3:13">
      <c r="C6914">
        <v>2100300025</v>
      </c>
      <c r="D6914">
        <v>6431000</v>
      </c>
      <c r="E6914" t="s">
        <v>188</v>
      </c>
      <c r="F6914">
        <v>5104010115</v>
      </c>
      <c r="G6914">
        <v>53.03</v>
      </c>
      <c r="I6914" t="s">
        <v>142</v>
      </c>
      <c r="J6914" t="s">
        <v>941</v>
      </c>
      <c r="K6914" t="s">
        <v>155</v>
      </c>
      <c r="L6914">
        <v>4700029590</v>
      </c>
      <c r="M6914" t="s">
        <v>1318</v>
      </c>
    </row>
    <row r="6915" spans="3:13">
      <c r="C6915">
        <v>2100300025</v>
      </c>
      <c r="D6915">
        <v>6431000</v>
      </c>
      <c r="E6915" t="s">
        <v>188</v>
      </c>
      <c r="F6915">
        <v>5104010115</v>
      </c>
      <c r="G6915">
        <v>14.59</v>
      </c>
      <c r="I6915" t="s">
        <v>142</v>
      </c>
      <c r="J6915" t="s">
        <v>841</v>
      </c>
      <c r="K6915" t="s">
        <v>155</v>
      </c>
      <c r="L6915">
        <v>4700031086</v>
      </c>
      <c r="M6915" t="s">
        <v>1319</v>
      </c>
    </row>
    <row r="6916" spans="3:13">
      <c r="C6916">
        <v>2100300025</v>
      </c>
      <c r="D6916">
        <v>6431000</v>
      </c>
      <c r="E6916" t="s">
        <v>188</v>
      </c>
      <c r="F6916">
        <v>5104010115</v>
      </c>
      <c r="G6916">
        <v>350.35</v>
      </c>
      <c r="I6916" t="s">
        <v>142</v>
      </c>
      <c r="J6916" t="s">
        <v>942</v>
      </c>
      <c r="K6916" t="s">
        <v>155</v>
      </c>
      <c r="L6916">
        <v>4700031119</v>
      </c>
      <c r="M6916" t="s">
        <v>1320</v>
      </c>
    </row>
    <row r="6917" spans="3:13">
      <c r="C6917">
        <v>2100300025</v>
      </c>
      <c r="D6917">
        <v>6431000</v>
      </c>
      <c r="E6917" t="s">
        <v>188</v>
      </c>
      <c r="F6917">
        <v>5104010115</v>
      </c>
      <c r="G6917">
        <v>18.73</v>
      </c>
      <c r="I6917" t="s">
        <v>142</v>
      </c>
      <c r="J6917" t="s">
        <v>942</v>
      </c>
      <c r="K6917" t="s">
        <v>155</v>
      </c>
      <c r="L6917">
        <v>4700031120</v>
      </c>
      <c r="M6917" t="s">
        <v>1321</v>
      </c>
    </row>
    <row r="6918" spans="3:13">
      <c r="C6918">
        <v>2100300025</v>
      </c>
      <c r="D6918">
        <v>6431000</v>
      </c>
      <c r="E6918" t="s">
        <v>188</v>
      </c>
      <c r="F6918">
        <v>5104010115</v>
      </c>
      <c r="G6918">
        <v>82.93</v>
      </c>
      <c r="I6918" t="s">
        <v>142</v>
      </c>
      <c r="J6918" t="s">
        <v>842</v>
      </c>
      <c r="K6918" t="s">
        <v>155</v>
      </c>
      <c r="L6918">
        <v>4700031754</v>
      </c>
      <c r="M6918" t="s">
        <v>1322</v>
      </c>
    </row>
    <row r="6919" spans="3:13">
      <c r="C6919">
        <v>2100300025</v>
      </c>
      <c r="D6919">
        <v>6431000</v>
      </c>
      <c r="E6919" t="s">
        <v>188</v>
      </c>
      <c r="F6919">
        <v>5104010115</v>
      </c>
      <c r="G6919">
        <v>86.76</v>
      </c>
      <c r="I6919" t="s">
        <v>142</v>
      </c>
      <c r="J6919" t="s">
        <v>842</v>
      </c>
      <c r="K6919" t="s">
        <v>155</v>
      </c>
      <c r="L6919">
        <v>4700031343</v>
      </c>
      <c r="M6919" t="s">
        <v>1323</v>
      </c>
    </row>
    <row r="6920" spans="3:13">
      <c r="C6920">
        <v>2100300025</v>
      </c>
      <c r="D6920">
        <v>6431000</v>
      </c>
      <c r="E6920" t="s">
        <v>188</v>
      </c>
      <c r="F6920">
        <v>5104010115</v>
      </c>
      <c r="G6920">
        <v>104.6</v>
      </c>
      <c r="I6920" t="s">
        <v>142</v>
      </c>
      <c r="J6920" t="s">
        <v>843</v>
      </c>
      <c r="K6920" t="s">
        <v>155</v>
      </c>
      <c r="L6920">
        <v>4700031813</v>
      </c>
      <c r="M6920" t="s">
        <v>1324</v>
      </c>
    </row>
    <row r="6921" spans="3:13">
      <c r="C6921">
        <v>2100300025</v>
      </c>
      <c r="D6921">
        <v>6431000</v>
      </c>
      <c r="E6921" t="s">
        <v>188</v>
      </c>
      <c r="F6921">
        <v>5104010115</v>
      </c>
      <c r="G6921">
        <v>119.04</v>
      </c>
      <c r="I6921" t="s">
        <v>142</v>
      </c>
      <c r="J6921" t="s">
        <v>945</v>
      </c>
      <c r="K6921" t="s">
        <v>155</v>
      </c>
      <c r="L6921">
        <v>4700031338</v>
      </c>
      <c r="M6921" t="s">
        <v>1325</v>
      </c>
    </row>
    <row r="6922" spans="3:13">
      <c r="C6922">
        <v>2100300025</v>
      </c>
      <c r="D6922">
        <v>6431000</v>
      </c>
      <c r="E6922" t="s">
        <v>188</v>
      </c>
      <c r="F6922">
        <v>5104010115</v>
      </c>
      <c r="G6922">
        <v>34.29</v>
      </c>
      <c r="I6922" t="s">
        <v>142</v>
      </c>
      <c r="J6922" t="s">
        <v>945</v>
      </c>
      <c r="K6922" t="s">
        <v>155</v>
      </c>
      <c r="L6922">
        <v>4700032624</v>
      </c>
      <c r="M6922" t="s">
        <v>1326</v>
      </c>
    </row>
    <row r="6923" spans="3:13">
      <c r="C6923">
        <v>2100300025</v>
      </c>
      <c r="D6923">
        <v>6431000</v>
      </c>
      <c r="E6923" t="s">
        <v>188</v>
      </c>
      <c r="F6923">
        <v>5104010115</v>
      </c>
      <c r="G6923" s="13">
        <v>1818.31</v>
      </c>
      <c r="I6923" t="s">
        <v>142</v>
      </c>
      <c r="J6923" t="s">
        <v>583</v>
      </c>
      <c r="K6923" t="s">
        <v>155</v>
      </c>
      <c r="L6923">
        <v>4700033530</v>
      </c>
      <c r="M6923" t="s">
        <v>1327</v>
      </c>
    </row>
    <row r="6924" spans="3:13">
      <c r="C6924">
        <v>2100300025</v>
      </c>
      <c r="D6924">
        <v>6431000</v>
      </c>
      <c r="E6924" t="s">
        <v>188</v>
      </c>
      <c r="F6924">
        <v>5104010115</v>
      </c>
      <c r="G6924">
        <v>40.29</v>
      </c>
      <c r="I6924" t="s">
        <v>142</v>
      </c>
      <c r="J6924" t="s">
        <v>949</v>
      </c>
      <c r="K6924" t="s">
        <v>155</v>
      </c>
      <c r="L6924">
        <v>4700030176</v>
      </c>
      <c r="M6924" t="s">
        <v>1328</v>
      </c>
    </row>
    <row r="6925" spans="3:13">
      <c r="C6925">
        <v>2100300025</v>
      </c>
      <c r="D6925">
        <v>6431000</v>
      </c>
      <c r="E6925" t="s">
        <v>188</v>
      </c>
      <c r="F6925">
        <v>5104010115</v>
      </c>
      <c r="G6925" s="13">
        <v>1910.73</v>
      </c>
      <c r="I6925" t="s">
        <v>142</v>
      </c>
      <c r="J6925" t="s">
        <v>949</v>
      </c>
      <c r="K6925" t="s">
        <v>155</v>
      </c>
      <c r="L6925">
        <v>4700031646</v>
      </c>
      <c r="M6925" t="s">
        <v>1329</v>
      </c>
    </row>
    <row r="6926" spans="3:13">
      <c r="C6926">
        <v>2100300025</v>
      </c>
      <c r="D6926">
        <v>6431000</v>
      </c>
      <c r="E6926" t="s">
        <v>188</v>
      </c>
      <c r="F6926">
        <v>5104010115</v>
      </c>
      <c r="G6926">
        <v>193.41</v>
      </c>
      <c r="I6926" t="s">
        <v>142</v>
      </c>
      <c r="J6926" t="s">
        <v>844</v>
      </c>
      <c r="K6926" t="s">
        <v>155</v>
      </c>
      <c r="L6926">
        <v>4700032603</v>
      </c>
      <c r="M6926" t="s">
        <v>1330</v>
      </c>
    </row>
    <row r="6927" spans="3:13">
      <c r="C6927">
        <v>2100300025</v>
      </c>
      <c r="D6927">
        <v>6431000</v>
      </c>
      <c r="E6927" t="s">
        <v>188</v>
      </c>
      <c r="F6927">
        <v>5104010115</v>
      </c>
      <c r="G6927">
        <v>36.71</v>
      </c>
      <c r="I6927" t="s">
        <v>142</v>
      </c>
      <c r="J6927" t="s">
        <v>844</v>
      </c>
      <c r="K6927" t="s">
        <v>155</v>
      </c>
      <c r="L6927">
        <v>4700031730</v>
      </c>
      <c r="M6927" t="s">
        <v>1331</v>
      </c>
    </row>
    <row r="6928" spans="3:13">
      <c r="C6928">
        <v>2100300025</v>
      </c>
      <c r="D6928">
        <v>6431000</v>
      </c>
      <c r="E6928" t="s">
        <v>188</v>
      </c>
      <c r="F6928">
        <v>5104010115</v>
      </c>
      <c r="G6928">
        <v>64.47</v>
      </c>
      <c r="I6928" t="s">
        <v>142</v>
      </c>
      <c r="J6928" t="s">
        <v>1270</v>
      </c>
      <c r="K6928" t="s">
        <v>155</v>
      </c>
      <c r="L6928">
        <v>4700033493</v>
      </c>
      <c r="M6928" t="s">
        <v>1332</v>
      </c>
    </row>
    <row r="6929" spans="3:13">
      <c r="C6929">
        <v>2100300025</v>
      </c>
      <c r="D6929">
        <v>6431000</v>
      </c>
      <c r="E6929" t="s">
        <v>188</v>
      </c>
      <c r="F6929">
        <v>5104010115</v>
      </c>
      <c r="G6929">
        <v>142.72</v>
      </c>
      <c r="I6929" t="s">
        <v>142</v>
      </c>
      <c r="J6929" t="s">
        <v>561</v>
      </c>
      <c r="K6929" t="s">
        <v>155</v>
      </c>
      <c r="L6929">
        <v>4700031191</v>
      </c>
      <c r="M6929" t="s">
        <v>1333</v>
      </c>
    </row>
    <row r="6930" spans="3:13">
      <c r="C6930">
        <v>2100300025</v>
      </c>
      <c r="D6930">
        <v>6431000</v>
      </c>
      <c r="E6930" t="s">
        <v>188</v>
      </c>
      <c r="F6930">
        <v>5104010115</v>
      </c>
      <c r="G6930">
        <v>105.79</v>
      </c>
      <c r="I6930" t="s">
        <v>142</v>
      </c>
      <c r="J6930" t="s">
        <v>944</v>
      </c>
      <c r="K6930" t="s">
        <v>155</v>
      </c>
      <c r="L6930">
        <v>4700031688</v>
      </c>
      <c r="M6930" t="s">
        <v>1334</v>
      </c>
    </row>
    <row r="6931" spans="3:13">
      <c r="C6931">
        <v>2100300025</v>
      </c>
      <c r="D6931">
        <v>6431000</v>
      </c>
      <c r="E6931" t="s">
        <v>188</v>
      </c>
      <c r="F6931">
        <v>5104010115</v>
      </c>
      <c r="G6931">
        <v>140.44</v>
      </c>
      <c r="I6931" t="s">
        <v>142</v>
      </c>
      <c r="J6931" t="s">
        <v>845</v>
      </c>
      <c r="K6931" t="s">
        <v>155</v>
      </c>
      <c r="L6931">
        <v>4700032832</v>
      </c>
      <c r="M6931" t="s">
        <v>1335</v>
      </c>
    </row>
    <row r="6932" spans="3:13">
      <c r="C6932">
        <v>2100300025</v>
      </c>
      <c r="D6932">
        <v>6431000</v>
      </c>
      <c r="E6932" t="s">
        <v>188</v>
      </c>
      <c r="F6932">
        <v>5104010115</v>
      </c>
      <c r="G6932">
        <v>30.71</v>
      </c>
      <c r="I6932" t="s">
        <v>142</v>
      </c>
      <c r="J6932" t="s">
        <v>948</v>
      </c>
      <c r="K6932" t="s">
        <v>155</v>
      </c>
      <c r="L6932">
        <v>4700032660</v>
      </c>
      <c r="M6932" t="s">
        <v>1336</v>
      </c>
    </row>
    <row r="6933" spans="3:13">
      <c r="C6933">
        <v>2100300025</v>
      </c>
      <c r="D6933">
        <v>6431000</v>
      </c>
      <c r="E6933" t="s">
        <v>188</v>
      </c>
      <c r="F6933">
        <v>5104010115</v>
      </c>
      <c r="G6933" s="13">
        <v>2639.11</v>
      </c>
      <c r="I6933" t="s">
        <v>142</v>
      </c>
      <c r="J6933" t="s">
        <v>951</v>
      </c>
      <c r="K6933" t="s">
        <v>155</v>
      </c>
      <c r="L6933">
        <v>4700035125</v>
      </c>
      <c r="M6933" t="s">
        <v>1337</v>
      </c>
    </row>
    <row r="6934" spans="3:13">
      <c r="C6934">
        <v>2100300025</v>
      </c>
      <c r="D6934">
        <v>6431000</v>
      </c>
      <c r="E6934" t="s">
        <v>188</v>
      </c>
      <c r="F6934">
        <v>5104010115</v>
      </c>
      <c r="G6934" s="13">
        <v>1229.43</v>
      </c>
      <c r="I6934" t="s">
        <v>142</v>
      </c>
      <c r="J6934" t="s">
        <v>950</v>
      </c>
      <c r="K6934" t="s">
        <v>155</v>
      </c>
      <c r="L6934">
        <v>4700034414</v>
      </c>
      <c r="M6934" t="s">
        <v>1338</v>
      </c>
    </row>
    <row r="6935" spans="3:13">
      <c r="C6935">
        <v>2100300025</v>
      </c>
      <c r="D6935">
        <v>6431000</v>
      </c>
      <c r="E6935" t="s">
        <v>188</v>
      </c>
      <c r="F6935">
        <v>5104010115</v>
      </c>
      <c r="G6935">
        <v>99.9</v>
      </c>
      <c r="I6935" t="s">
        <v>142</v>
      </c>
      <c r="J6935" t="s">
        <v>950</v>
      </c>
      <c r="K6935" t="s">
        <v>155</v>
      </c>
      <c r="L6935">
        <v>4700034337</v>
      </c>
      <c r="M6935" t="s">
        <v>1339</v>
      </c>
    </row>
    <row r="6936" spans="3:13">
      <c r="C6936">
        <v>2100300025</v>
      </c>
      <c r="D6936">
        <v>6431000</v>
      </c>
      <c r="E6936" t="s">
        <v>188</v>
      </c>
      <c r="F6936">
        <v>5104010115</v>
      </c>
      <c r="G6936">
        <v>513.6</v>
      </c>
      <c r="I6936" t="s">
        <v>142</v>
      </c>
      <c r="J6936" t="s">
        <v>846</v>
      </c>
      <c r="K6936" t="s">
        <v>155</v>
      </c>
      <c r="L6936">
        <v>4700035582</v>
      </c>
      <c r="M6936" t="s">
        <v>1340</v>
      </c>
    </row>
    <row r="6937" spans="3:13">
      <c r="C6937">
        <v>2100300025</v>
      </c>
      <c r="D6937">
        <v>6431000</v>
      </c>
      <c r="E6937" t="s">
        <v>188</v>
      </c>
      <c r="F6937">
        <v>5104010115</v>
      </c>
      <c r="G6937">
        <v>600.27</v>
      </c>
      <c r="I6937" t="s">
        <v>142</v>
      </c>
      <c r="J6937" t="s">
        <v>953</v>
      </c>
      <c r="K6937" t="s">
        <v>155</v>
      </c>
      <c r="L6937">
        <v>4700036208</v>
      </c>
      <c r="M6937" t="s">
        <v>1341</v>
      </c>
    </row>
    <row r="6938" spans="3:13">
      <c r="C6938">
        <v>2100300025</v>
      </c>
      <c r="D6938">
        <v>6431000</v>
      </c>
      <c r="E6938" t="s">
        <v>188</v>
      </c>
      <c r="F6938">
        <v>5104010115</v>
      </c>
      <c r="G6938">
        <v>56.33</v>
      </c>
      <c r="I6938" t="s">
        <v>142</v>
      </c>
      <c r="J6938" t="s">
        <v>954</v>
      </c>
      <c r="K6938" t="s">
        <v>155</v>
      </c>
      <c r="L6938">
        <v>4700034723</v>
      </c>
      <c r="M6938" t="s">
        <v>1342</v>
      </c>
    </row>
    <row r="6939" spans="3:13">
      <c r="C6939">
        <v>2100300025</v>
      </c>
      <c r="D6939">
        <v>6431000</v>
      </c>
      <c r="E6939" t="s">
        <v>188</v>
      </c>
      <c r="F6939">
        <v>5104010115</v>
      </c>
      <c r="G6939">
        <v>572.88</v>
      </c>
      <c r="I6939" t="s">
        <v>142</v>
      </c>
      <c r="J6939" t="s">
        <v>954</v>
      </c>
      <c r="K6939" t="s">
        <v>155</v>
      </c>
      <c r="L6939">
        <v>4700034260</v>
      </c>
      <c r="M6939" t="s">
        <v>1343</v>
      </c>
    </row>
    <row r="6940" spans="3:13">
      <c r="C6940">
        <v>2100300025</v>
      </c>
      <c r="D6940">
        <v>6431000</v>
      </c>
      <c r="E6940" t="s">
        <v>188</v>
      </c>
      <c r="F6940">
        <v>5104010115</v>
      </c>
      <c r="G6940">
        <v>143.22</v>
      </c>
      <c r="I6940" t="s">
        <v>142</v>
      </c>
      <c r="J6940" t="s">
        <v>585</v>
      </c>
      <c r="K6940" t="s">
        <v>155</v>
      </c>
      <c r="L6940">
        <v>4700037273</v>
      </c>
      <c r="M6940" t="s">
        <v>1344</v>
      </c>
    </row>
    <row r="6941" spans="3:13">
      <c r="C6941">
        <v>2100300025</v>
      </c>
      <c r="D6941">
        <v>6431000</v>
      </c>
      <c r="E6941" t="s">
        <v>188</v>
      </c>
      <c r="F6941">
        <v>5104010115</v>
      </c>
      <c r="G6941">
        <v>159.71</v>
      </c>
      <c r="I6941" t="s">
        <v>142</v>
      </c>
      <c r="J6941" t="s">
        <v>1345</v>
      </c>
      <c r="K6941" t="s">
        <v>155</v>
      </c>
      <c r="L6941">
        <v>4700034052</v>
      </c>
      <c r="M6941" t="s">
        <v>1346</v>
      </c>
    </row>
    <row r="6942" spans="3:13">
      <c r="C6942">
        <v>2100300025</v>
      </c>
      <c r="D6942">
        <v>6431000</v>
      </c>
      <c r="E6942" t="s">
        <v>188</v>
      </c>
      <c r="F6942">
        <v>5104010115</v>
      </c>
      <c r="G6942">
        <v>24.08</v>
      </c>
      <c r="I6942" t="s">
        <v>142</v>
      </c>
      <c r="J6942" t="s">
        <v>947</v>
      </c>
      <c r="K6942" t="s">
        <v>155</v>
      </c>
      <c r="L6942">
        <v>4700026345</v>
      </c>
      <c r="M6942" t="s">
        <v>1347</v>
      </c>
    </row>
    <row r="6943" spans="3:13">
      <c r="C6943">
        <v>2100300025</v>
      </c>
      <c r="D6943">
        <v>6431000</v>
      </c>
      <c r="E6943" t="s">
        <v>188</v>
      </c>
      <c r="F6943">
        <v>5104010115</v>
      </c>
      <c r="G6943">
        <v>64.2</v>
      </c>
      <c r="I6943" t="s">
        <v>142</v>
      </c>
      <c r="J6943" t="s">
        <v>559</v>
      </c>
      <c r="K6943" t="s">
        <v>155</v>
      </c>
      <c r="L6943">
        <v>4700035155</v>
      </c>
      <c r="M6943" t="s">
        <v>1348</v>
      </c>
    </row>
    <row r="6944" spans="3:13">
      <c r="C6944">
        <v>2100300025</v>
      </c>
      <c r="D6944">
        <v>6431000</v>
      </c>
      <c r="E6944" t="s">
        <v>188</v>
      </c>
      <c r="F6944">
        <v>5104010115</v>
      </c>
      <c r="G6944">
        <v>65.540000000000006</v>
      </c>
      <c r="I6944" t="s">
        <v>142</v>
      </c>
      <c r="J6944" t="s">
        <v>959</v>
      </c>
      <c r="K6944" t="s">
        <v>155</v>
      </c>
      <c r="L6944">
        <v>4700037629</v>
      </c>
      <c r="M6944" t="s">
        <v>1349</v>
      </c>
    </row>
    <row r="6945" spans="3:13">
      <c r="C6945">
        <v>2100300025</v>
      </c>
      <c r="D6945">
        <v>6431000</v>
      </c>
      <c r="E6945" t="s">
        <v>188</v>
      </c>
      <c r="F6945">
        <v>5104010115</v>
      </c>
      <c r="G6945" s="13">
        <v>1017.48</v>
      </c>
      <c r="I6945" t="s">
        <v>142</v>
      </c>
      <c r="J6945" t="s">
        <v>962</v>
      </c>
      <c r="K6945" t="s">
        <v>155</v>
      </c>
      <c r="L6945">
        <v>4700039274</v>
      </c>
      <c r="M6945" t="s">
        <v>1350</v>
      </c>
    </row>
    <row r="6946" spans="3:13">
      <c r="C6946">
        <v>2100300025</v>
      </c>
      <c r="D6946">
        <v>6431000</v>
      </c>
      <c r="E6946" t="s">
        <v>188</v>
      </c>
      <c r="F6946">
        <v>5104010115</v>
      </c>
      <c r="G6946">
        <v>14.24</v>
      </c>
      <c r="I6946" t="s">
        <v>142</v>
      </c>
      <c r="J6946" t="s">
        <v>852</v>
      </c>
      <c r="K6946" t="s">
        <v>155</v>
      </c>
      <c r="L6946">
        <v>4700037470</v>
      </c>
      <c r="M6946" t="s">
        <v>1351</v>
      </c>
    </row>
    <row r="6947" spans="3:13">
      <c r="C6947">
        <v>2100300025</v>
      </c>
      <c r="D6947">
        <v>6431000</v>
      </c>
      <c r="E6947" t="s">
        <v>188</v>
      </c>
      <c r="F6947">
        <v>5104010115</v>
      </c>
      <c r="G6947">
        <v>489.79</v>
      </c>
      <c r="I6947" t="s">
        <v>142</v>
      </c>
      <c r="J6947" t="s">
        <v>857</v>
      </c>
      <c r="K6947" t="s">
        <v>155</v>
      </c>
      <c r="L6947">
        <v>4700041062</v>
      </c>
      <c r="M6947" t="s">
        <v>1352</v>
      </c>
    </row>
    <row r="6948" spans="3:13">
      <c r="C6948">
        <v>2100300025</v>
      </c>
      <c r="D6948">
        <v>6431000</v>
      </c>
      <c r="E6948" t="s">
        <v>188</v>
      </c>
      <c r="F6948">
        <v>5104010115</v>
      </c>
      <c r="G6948">
        <v>21.43</v>
      </c>
      <c r="I6948" t="s">
        <v>142</v>
      </c>
      <c r="J6948" t="s">
        <v>1353</v>
      </c>
      <c r="K6948" t="s">
        <v>155</v>
      </c>
      <c r="L6948">
        <v>4700041208</v>
      </c>
      <c r="M6948" t="s">
        <v>1354</v>
      </c>
    </row>
    <row r="6949" spans="3:13">
      <c r="C6949">
        <v>2100300025</v>
      </c>
      <c r="D6949">
        <v>6431000</v>
      </c>
      <c r="E6949" t="s">
        <v>188</v>
      </c>
      <c r="F6949">
        <v>5104010115</v>
      </c>
      <c r="G6949">
        <v>244.76</v>
      </c>
      <c r="I6949" t="s">
        <v>142</v>
      </c>
      <c r="J6949" t="s">
        <v>1355</v>
      </c>
      <c r="K6949" t="s">
        <v>155</v>
      </c>
      <c r="L6949">
        <v>4700043823</v>
      </c>
      <c r="M6949" t="s">
        <v>1356</v>
      </c>
    </row>
    <row r="6950" spans="3:13">
      <c r="C6950">
        <v>2100300025</v>
      </c>
      <c r="D6950">
        <v>6431000</v>
      </c>
      <c r="E6950" t="s">
        <v>188</v>
      </c>
      <c r="F6950">
        <v>5104010115</v>
      </c>
      <c r="G6950" s="13">
        <v>2216.89</v>
      </c>
      <c r="I6950" t="s">
        <v>142</v>
      </c>
      <c r="J6950" t="s">
        <v>983</v>
      </c>
      <c r="K6950" t="s">
        <v>155</v>
      </c>
      <c r="L6950">
        <v>4700044990</v>
      </c>
      <c r="M6950" t="s">
        <v>1357</v>
      </c>
    </row>
    <row r="6951" spans="3:13">
      <c r="C6951">
        <v>2100300025</v>
      </c>
      <c r="D6951">
        <v>6431000</v>
      </c>
      <c r="E6951" t="s">
        <v>188</v>
      </c>
      <c r="F6951">
        <v>5104010115</v>
      </c>
      <c r="G6951">
        <v>96.57</v>
      </c>
      <c r="I6951" t="s">
        <v>142</v>
      </c>
      <c r="J6951" t="s">
        <v>1345</v>
      </c>
      <c r="K6951" t="s">
        <v>155</v>
      </c>
      <c r="L6951">
        <v>4700034051</v>
      </c>
      <c r="M6951" t="s">
        <v>1358</v>
      </c>
    </row>
    <row r="6952" spans="3:13">
      <c r="C6952">
        <v>2100300025</v>
      </c>
      <c r="D6952">
        <v>6431000</v>
      </c>
      <c r="E6952" t="s">
        <v>188</v>
      </c>
      <c r="F6952">
        <v>5104010115</v>
      </c>
      <c r="G6952">
        <v>161.02000000000001</v>
      </c>
      <c r="I6952" t="s">
        <v>142</v>
      </c>
      <c r="J6952" t="s">
        <v>859</v>
      </c>
      <c r="K6952" t="s">
        <v>155</v>
      </c>
      <c r="L6952">
        <v>4700041056</v>
      </c>
      <c r="M6952" t="s">
        <v>1359</v>
      </c>
    </row>
    <row r="6953" spans="3:13">
      <c r="C6953">
        <v>2100300025</v>
      </c>
      <c r="D6953">
        <v>6431000</v>
      </c>
      <c r="E6953" t="s">
        <v>188</v>
      </c>
      <c r="F6953">
        <v>5104010115</v>
      </c>
      <c r="G6953">
        <v>7.71</v>
      </c>
      <c r="I6953" t="s">
        <v>142</v>
      </c>
      <c r="J6953" t="s">
        <v>860</v>
      </c>
      <c r="K6953" t="s">
        <v>155</v>
      </c>
      <c r="L6953">
        <v>4700041178</v>
      </c>
      <c r="M6953" t="s">
        <v>1360</v>
      </c>
    </row>
    <row r="6954" spans="3:13">
      <c r="C6954">
        <v>2100300025</v>
      </c>
      <c r="D6954">
        <v>6431000</v>
      </c>
      <c r="E6954" t="s">
        <v>188</v>
      </c>
      <c r="F6954">
        <v>5104010115</v>
      </c>
      <c r="G6954" s="13">
        <v>1801.18</v>
      </c>
      <c r="I6954" t="s">
        <v>142</v>
      </c>
      <c r="J6954" t="s">
        <v>1353</v>
      </c>
      <c r="K6954" t="s">
        <v>155</v>
      </c>
      <c r="L6954">
        <v>4700040907</v>
      </c>
      <c r="M6954" t="s">
        <v>1361</v>
      </c>
    </row>
    <row r="6955" spans="3:13">
      <c r="C6955">
        <v>2100300025</v>
      </c>
      <c r="D6955">
        <v>6431000</v>
      </c>
      <c r="E6955" t="s">
        <v>188</v>
      </c>
      <c r="F6955">
        <v>5104010115</v>
      </c>
      <c r="G6955">
        <v>69.33</v>
      </c>
      <c r="I6955" t="s">
        <v>142</v>
      </c>
      <c r="J6955" t="s">
        <v>1005</v>
      </c>
      <c r="K6955" t="s">
        <v>155</v>
      </c>
      <c r="L6955">
        <v>4700042454</v>
      </c>
      <c r="M6955" t="s">
        <v>1362</v>
      </c>
    </row>
    <row r="6956" spans="3:13">
      <c r="C6956">
        <v>2100300025</v>
      </c>
      <c r="D6956">
        <v>6431000</v>
      </c>
      <c r="E6956" t="s">
        <v>188</v>
      </c>
      <c r="F6956">
        <v>5104010115</v>
      </c>
      <c r="G6956">
        <v>253.06</v>
      </c>
      <c r="I6956" t="s">
        <v>142</v>
      </c>
      <c r="J6956" t="s">
        <v>847</v>
      </c>
      <c r="K6956" t="s">
        <v>155</v>
      </c>
      <c r="L6956">
        <v>4700028218</v>
      </c>
      <c r="M6956" t="s">
        <v>1363</v>
      </c>
    </row>
    <row r="6957" spans="3:13">
      <c r="C6957">
        <v>2100300025</v>
      </c>
      <c r="D6957">
        <v>6431000</v>
      </c>
      <c r="E6957" t="s">
        <v>188</v>
      </c>
      <c r="F6957">
        <v>5104010115</v>
      </c>
      <c r="G6957">
        <v>35.19</v>
      </c>
      <c r="I6957" t="s">
        <v>142</v>
      </c>
      <c r="J6957" t="s">
        <v>847</v>
      </c>
      <c r="K6957" t="s">
        <v>155</v>
      </c>
      <c r="L6957">
        <v>4700031785</v>
      </c>
      <c r="M6957" t="s">
        <v>1364</v>
      </c>
    </row>
    <row r="6958" spans="3:13">
      <c r="C6958">
        <v>2100300025</v>
      </c>
      <c r="D6958">
        <v>6431000</v>
      </c>
      <c r="E6958" t="s">
        <v>188</v>
      </c>
      <c r="F6958">
        <v>5104010115</v>
      </c>
      <c r="G6958">
        <v>9.44</v>
      </c>
      <c r="I6958" t="s">
        <v>142</v>
      </c>
      <c r="J6958" t="s">
        <v>848</v>
      </c>
      <c r="K6958" t="s">
        <v>155</v>
      </c>
      <c r="L6958">
        <v>4700035067</v>
      </c>
      <c r="M6958" t="s">
        <v>1365</v>
      </c>
    </row>
    <row r="6959" spans="3:13">
      <c r="C6959">
        <v>2100300025</v>
      </c>
      <c r="D6959">
        <v>6431000</v>
      </c>
      <c r="E6959" t="s">
        <v>188</v>
      </c>
      <c r="F6959">
        <v>5104010115</v>
      </c>
      <c r="G6959">
        <v>690.15</v>
      </c>
      <c r="I6959" t="s">
        <v>142</v>
      </c>
      <c r="J6959" t="s">
        <v>952</v>
      </c>
      <c r="K6959" t="s">
        <v>155</v>
      </c>
      <c r="L6959">
        <v>4700034736</v>
      </c>
      <c r="M6959" t="s">
        <v>1366</v>
      </c>
    </row>
    <row r="6960" spans="3:13">
      <c r="C6960">
        <v>2100300025</v>
      </c>
      <c r="D6960">
        <v>6431000</v>
      </c>
      <c r="E6960" t="s">
        <v>188</v>
      </c>
      <c r="F6960">
        <v>5104010115</v>
      </c>
      <c r="G6960">
        <v>75.05</v>
      </c>
      <c r="I6960" t="s">
        <v>142</v>
      </c>
      <c r="J6960" t="s">
        <v>953</v>
      </c>
      <c r="K6960" t="s">
        <v>155</v>
      </c>
      <c r="L6960">
        <v>4700036207</v>
      </c>
      <c r="M6960" t="s">
        <v>1367</v>
      </c>
    </row>
    <row r="6961" spans="3:13">
      <c r="C6961">
        <v>2100300025</v>
      </c>
      <c r="D6961">
        <v>6431000</v>
      </c>
      <c r="E6961" t="s">
        <v>188</v>
      </c>
      <c r="F6961">
        <v>5104010115</v>
      </c>
      <c r="G6961">
        <v>108.88</v>
      </c>
      <c r="I6961" t="s">
        <v>142</v>
      </c>
      <c r="J6961" t="s">
        <v>849</v>
      </c>
      <c r="K6961" t="s">
        <v>155</v>
      </c>
      <c r="L6961">
        <v>4700034323</v>
      </c>
      <c r="M6961" t="s">
        <v>1368</v>
      </c>
    </row>
    <row r="6962" spans="3:13">
      <c r="C6962">
        <v>2100300025</v>
      </c>
      <c r="D6962">
        <v>6431000</v>
      </c>
      <c r="E6962" t="s">
        <v>188</v>
      </c>
      <c r="F6962">
        <v>5104010115</v>
      </c>
      <c r="G6962">
        <v>532.58000000000004</v>
      </c>
      <c r="I6962" t="s">
        <v>142</v>
      </c>
      <c r="J6962" t="s">
        <v>955</v>
      </c>
      <c r="K6962" t="s">
        <v>155</v>
      </c>
      <c r="L6962">
        <v>4700035742</v>
      </c>
      <c r="M6962" t="s">
        <v>1369</v>
      </c>
    </row>
    <row r="6963" spans="3:13">
      <c r="C6963">
        <v>2100300025</v>
      </c>
      <c r="D6963">
        <v>6431000</v>
      </c>
      <c r="E6963" t="s">
        <v>188</v>
      </c>
      <c r="F6963">
        <v>5104010115</v>
      </c>
      <c r="G6963">
        <v>47.56</v>
      </c>
      <c r="I6963" t="s">
        <v>142</v>
      </c>
      <c r="J6963" t="s">
        <v>955</v>
      </c>
      <c r="K6963" t="s">
        <v>155</v>
      </c>
      <c r="L6963">
        <v>4700035898</v>
      </c>
      <c r="M6963" t="s">
        <v>1370</v>
      </c>
    </row>
    <row r="6964" spans="3:13">
      <c r="C6964">
        <v>2100300025</v>
      </c>
      <c r="D6964">
        <v>6431000</v>
      </c>
      <c r="E6964" t="s">
        <v>188</v>
      </c>
      <c r="F6964">
        <v>5104010115</v>
      </c>
      <c r="G6964">
        <v>543.03</v>
      </c>
      <c r="I6964" t="s">
        <v>142</v>
      </c>
      <c r="J6964" t="s">
        <v>956</v>
      </c>
      <c r="K6964" t="s">
        <v>155</v>
      </c>
      <c r="L6964">
        <v>4700035458</v>
      </c>
      <c r="M6964" t="s">
        <v>1371</v>
      </c>
    </row>
    <row r="6965" spans="3:13">
      <c r="C6965">
        <v>2100300025</v>
      </c>
      <c r="D6965">
        <v>6431000</v>
      </c>
      <c r="E6965" t="s">
        <v>188</v>
      </c>
      <c r="F6965">
        <v>5104010115</v>
      </c>
      <c r="G6965">
        <v>152.93</v>
      </c>
      <c r="I6965" t="s">
        <v>142</v>
      </c>
      <c r="J6965" t="s">
        <v>956</v>
      </c>
      <c r="K6965" t="s">
        <v>155</v>
      </c>
      <c r="L6965">
        <v>4700035906</v>
      </c>
      <c r="M6965" t="s">
        <v>1372</v>
      </c>
    </row>
    <row r="6966" spans="3:13">
      <c r="C6966">
        <v>2100300025</v>
      </c>
      <c r="D6966">
        <v>6431000</v>
      </c>
      <c r="E6966" t="s">
        <v>188</v>
      </c>
      <c r="F6966">
        <v>5104010115</v>
      </c>
      <c r="G6966">
        <v>38.46</v>
      </c>
      <c r="I6966" t="s">
        <v>142</v>
      </c>
      <c r="J6966" t="s">
        <v>947</v>
      </c>
      <c r="K6966" t="s">
        <v>155</v>
      </c>
      <c r="L6966">
        <v>4700031362</v>
      </c>
      <c r="M6966" t="s">
        <v>1373</v>
      </c>
    </row>
    <row r="6967" spans="3:13">
      <c r="C6967">
        <v>2100300025</v>
      </c>
      <c r="D6967">
        <v>6431000</v>
      </c>
      <c r="E6967" t="s">
        <v>188</v>
      </c>
      <c r="F6967">
        <v>5104010115</v>
      </c>
      <c r="G6967">
        <v>36.090000000000003</v>
      </c>
      <c r="I6967" t="s">
        <v>142</v>
      </c>
      <c r="J6967" t="s">
        <v>957</v>
      </c>
      <c r="K6967" t="s">
        <v>155</v>
      </c>
      <c r="L6967">
        <v>4700034931</v>
      </c>
      <c r="M6967" t="s">
        <v>1374</v>
      </c>
    </row>
    <row r="6968" spans="3:13">
      <c r="C6968">
        <v>2100300025</v>
      </c>
      <c r="D6968">
        <v>6431000</v>
      </c>
      <c r="E6968" t="s">
        <v>188</v>
      </c>
      <c r="F6968">
        <v>5104010115</v>
      </c>
      <c r="G6968">
        <v>380.12</v>
      </c>
      <c r="I6968" t="s">
        <v>142</v>
      </c>
      <c r="J6968" t="s">
        <v>957</v>
      </c>
      <c r="K6968" t="s">
        <v>155</v>
      </c>
      <c r="L6968">
        <v>4700034932</v>
      </c>
      <c r="M6968" t="s">
        <v>1375</v>
      </c>
    </row>
    <row r="6969" spans="3:13">
      <c r="C6969">
        <v>2100300025</v>
      </c>
      <c r="D6969">
        <v>6431000</v>
      </c>
      <c r="E6969" t="s">
        <v>188</v>
      </c>
      <c r="F6969">
        <v>5104010115</v>
      </c>
      <c r="G6969">
        <v>258.76</v>
      </c>
      <c r="I6969" t="s">
        <v>142</v>
      </c>
      <c r="J6969" t="s">
        <v>800</v>
      </c>
      <c r="K6969" t="s">
        <v>155</v>
      </c>
      <c r="L6969">
        <v>4700035794</v>
      </c>
      <c r="M6969" t="s">
        <v>1376</v>
      </c>
    </row>
    <row r="6970" spans="3:13">
      <c r="C6970">
        <v>2100300025</v>
      </c>
      <c r="D6970">
        <v>6431000</v>
      </c>
      <c r="E6970" t="s">
        <v>188</v>
      </c>
      <c r="F6970">
        <v>5104010115</v>
      </c>
      <c r="G6970">
        <v>123.45</v>
      </c>
      <c r="I6970" t="s">
        <v>142</v>
      </c>
      <c r="J6970" t="s">
        <v>800</v>
      </c>
      <c r="K6970" t="s">
        <v>155</v>
      </c>
      <c r="L6970">
        <v>4700036196</v>
      </c>
      <c r="M6970" t="s">
        <v>1377</v>
      </c>
    </row>
    <row r="6971" spans="3:13">
      <c r="C6971">
        <v>2100300025</v>
      </c>
      <c r="D6971">
        <v>6431000</v>
      </c>
      <c r="E6971" t="s">
        <v>188</v>
      </c>
      <c r="F6971">
        <v>5104010115</v>
      </c>
      <c r="G6971">
        <v>83.95</v>
      </c>
      <c r="I6971" t="s">
        <v>142</v>
      </c>
      <c r="J6971" t="s">
        <v>850</v>
      </c>
      <c r="K6971" t="s">
        <v>155</v>
      </c>
      <c r="L6971">
        <v>4700035965</v>
      </c>
      <c r="M6971" t="s">
        <v>1378</v>
      </c>
    </row>
    <row r="6972" spans="3:13">
      <c r="C6972">
        <v>2100300025</v>
      </c>
      <c r="D6972">
        <v>6431000</v>
      </c>
      <c r="E6972" t="s">
        <v>188</v>
      </c>
      <c r="F6972">
        <v>5104010115</v>
      </c>
      <c r="G6972">
        <v>43.6</v>
      </c>
      <c r="I6972" t="s">
        <v>142</v>
      </c>
      <c r="J6972" t="s">
        <v>958</v>
      </c>
      <c r="K6972" t="s">
        <v>155</v>
      </c>
      <c r="L6972">
        <v>4700038853</v>
      </c>
      <c r="M6972" t="s">
        <v>1379</v>
      </c>
    </row>
    <row r="6973" spans="3:13">
      <c r="C6973">
        <v>2100300025</v>
      </c>
      <c r="D6973">
        <v>6431000</v>
      </c>
      <c r="E6973" t="s">
        <v>188</v>
      </c>
      <c r="F6973">
        <v>5104010115</v>
      </c>
      <c r="G6973">
        <v>170.05</v>
      </c>
      <c r="I6973" t="s">
        <v>142</v>
      </c>
      <c r="J6973" t="s">
        <v>1380</v>
      </c>
      <c r="K6973" t="s">
        <v>155</v>
      </c>
      <c r="L6973">
        <v>4700040316</v>
      </c>
      <c r="M6973" t="s">
        <v>1381</v>
      </c>
    </row>
    <row r="6974" spans="3:13">
      <c r="C6974">
        <v>2100300025</v>
      </c>
      <c r="D6974">
        <v>6431000</v>
      </c>
      <c r="E6974" t="s">
        <v>188</v>
      </c>
      <c r="F6974">
        <v>5104010115</v>
      </c>
      <c r="G6974">
        <v>108.32</v>
      </c>
      <c r="I6974" t="s">
        <v>142</v>
      </c>
      <c r="J6974" t="s">
        <v>1380</v>
      </c>
      <c r="K6974" t="s">
        <v>155</v>
      </c>
      <c r="L6974">
        <v>4700038292</v>
      </c>
      <c r="M6974" t="s">
        <v>1382</v>
      </c>
    </row>
    <row r="6975" spans="3:13">
      <c r="C6975">
        <v>2100300025</v>
      </c>
      <c r="D6975">
        <v>6431000</v>
      </c>
      <c r="E6975" t="s">
        <v>188</v>
      </c>
      <c r="F6975">
        <v>5104010115</v>
      </c>
      <c r="G6975" s="13">
        <v>1229.43</v>
      </c>
      <c r="I6975" t="s">
        <v>142</v>
      </c>
      <c r="J6975" t="s">
        <v>961</v>
      </c>
      <c r="K6975" t="s">
        <v>155</v>
      </c>
      <c r="L6975">
        <v>4700037531</v>
      </c>
      <c r="M6975" t="s">
        <v>1383</v>
      </c>
    </row>
    <row r="6976" spans="3:13">
      <c r="C6976">
        <v>2100300025</v>
      </c>
      <c r="D6976">
        <v>6431000</v>
      </c>
      <c r="E6976" t="s">
        <v>188</v>
      </c>
      <c r="F6976">
        <v>5104010115</v>
      </c>
      <c r="G6976">
        <v>108.86</v>
      </c>
      <c r="I6976" t="s">
        <v>142</v>
      </c>
      <c r="J6976" t="s">
        <v>873</v>
      </c>
      <c r="K6976" t="s">
        <v>155</v>
      </c>
      <c r="L6976">
        <v>4700038489</v>
      </c>
      <c r="M6976" t="s">
        <v>1384</v>
      </c>
    </row>
    <row r="6977" spans="3:13">
      <c r="C6977">
        <v>2100300025</v>
      </c>
      <c r="D6977">
        <v>6431000</v>
      </c>
      <c r="E6977" t="s">
        <v>188</v>
      </c>
      <c r="F6977">
        <v>5104010115</v>
      </c>
      <c r="G6977">
        <v>18.670000000000002</v>
      </c>
      <c r="I6977" t="s">
        <v>142</v>
      </c>
      <c r="J6977" t="s">
        <v>873</v>
      </c>
      <c r="K6977" t="s">
        <v>155</v>
      </c>
      <c r="L6977">
        <v>4700033676</v>
      </c>
      <c r="M6977" t="s">
        <v>1385</v>
      </c>
    </row>
    <row r="6978" spans="3:13">
      <c r="C6978">
        <v>2100300025</v>
      </c>
      <c r="D6978">
        <v>6431000</v>
      </c>
      <c r="E6978" t="s">
        <v>188</v>
      </c>
      <c r="F6978">
        <v>5104010115</v>
      </c>
      <c r="G6978">
        <v>219.01</v>
      </c>
      <c r="I6978" t="s">
        <v>142</v>
      </c>
      <c r="J6978" t="s">
        <v>963</v>
      </c>
      <c r="K6978" t="s">
        <v>155</v>
      </c>
      <c r="L6978">
        <v>4700033671</v>
      </c>
      <c r="M6978" t="s">
        <v>1386</v>
      </c>
    </row>
    <row r="6979" spans="3:13">
      <c r="C6979">
        <v>2100300025</v>
      </c>
      <c r="D6979">
        <v>6431000</v>
      </c>
      <c r="E6979" t="s">
        <v>188</v>
      </c>
      <c r="F6979">
        <v>5104010115</v>
      </c>
      <c r="G6979">
        <v>25.68</v>
      </c>
      <c r="I6979" t="s">
        <v>142</v>
      </c>
      <c r="J6979" t="s">
        <v>963</v>
      </c>
      <c r="K6979" t="s">
        <v>155</v>
      </c>
      <c r="L6979">
        <v>4700038462</v>
      </c>
      <c r="M6979" t="s">
        <v>1387</v>
      </c>
    </row>
    <row r="6980" spans="3:13">
      <c r="C6980">
        <v>2100300025</v>
      </c>
      <c r="D6980">
        <v>6431000</v>
      </c>
      <c r="E6980" t="s">
        <v>188</v>
      </c>
      <c r="F6980">
        <v>5104010115</v>
      </c>
      <c r="G6980">
        <v>94.28</v>
      </c>
      <c r="I6980" t="s">
        <v>142</v>
      </c>
      <c r="J6980" t="s">
        <v>962</v>
      </c>
      <c r="K6980" t="s">
        <v>155</v>
      </c>
      <c r="L6980">
        <v>4700039273</v>
      </c>
      <c r="M6980" t="s">
        <v>1388</v>
      </c>
    </row>
    <row r="6981" spans="3:13">
      <c r="C6981">
        <v>2100300025</v>
      </c>
      <c r="D6981">
        <v>6431000</v>
      </c>
      <c r="E6981" t="s">
        <v>188</v>
      </c>
      <c r="F6981">
        <v>5104010115</v>
      </c>
      <c r="G6981">
        <v>121.18</v>
      </c>
      <c r="I6981" t="s">
        <v>142</v>
      </c>
      <c r="J6981" t="s">
        <v>1389</v>
      </c>
      <c r="K6981" t="s">
        <v>155</v>
      </c>
      <c r="L6981">
        <v>4700039806</v>
      </c>
      <c r="M6981" t="s">
        <v>1390</v>
      </c>
    </row>
    <row r="6982" spans="3:13">
      <c r="C6982">
        <v>2100300025</v>
      </c>
      <c r="D6982">
        <v>6431000</v>
      </c>
      <c r="E6982" t="s">
        <v>188</v>
      </c>
      <c r="F6982">
        <v>5104010115</v>
      </c>
      <c r="G6982">
        <v>783.19</v>
      </c>
      <c r="I6982" t="s">
        <v>142</v>
      </c>
      <c r="J6982" t="s">
        <v>852</v>
      </c>
      <c r="K6982" t="s">
        <v>155</v>
      </c>
      <c r="L6982">
        <v>4700033664</v>
      </c>
      <c r="M6982" t="s">
        <v>1391</v>
      </c>
    </row>
    <row r="6983" spans="3:13">
      <c r="C6983">
        <v>2100300025</v>
      </c>
      <c r="D6983">
        <v>6431000</v>
      </c>
      <c r="E6983" t="s">
        <v>188</v>
      </c>
      <c r="F6983">
        <v>5104010115</v>
      </c>
      <c r="G6983">
        <v>64.760000000000005</v>
      </c>
      <c r="I6983" t="s">
        <v>142</v>
      </c>
      <c r="J6983" t="s">
        <v>964</v>
      </c>
      <c r="K6983" t="s">
        <v>155</v>
      </c>
      <c r="L6983">
        <v>4700038776</v>
      </c>
      <c r="M6983" t="s">
        <v>1392</v>
      </c>
    </row>
    <row r="6984" spans="3:13">
      <c r="C6984">
        <v>2100300025</v>
      </c>
      <c r="D6984">
        <v>6431000</v>
      </c>
      <c r="E6984" t="s">
        <v>188</v>
      </c>
      <c r="F6984">
        <v>5104010115</v>
      </c>
      <c r="G6984">
        <v>42.8</v>
      </c>
      <c r="I6984" t="s">
        <v>142</v>
      </c>
      <c r="J6984" t="s">
        <v>964</v>
      </c>
      <c r="K6984" t="s">
        <v>155</v>
      </c>
      <c r="L6984">
        <v>4700039337</v>
      </c>
      <c r="M6984" t="s">
        <v>1393</v>
      </c>
    </row>
    <row r="6985" spans="3:13">
      <c r="C6985">
        <v>2100300025</v>
      </c>
      <c r="D6985">
        <v>6431000</v>
      </c>
      <c r="E6985" t="s">
        <v>188</v>
      </c>
      <c r="F6985">
        <v>5104010115</v>
      </c>
      <c r="G6985" s="13">
        <v>1757.14</v>
      </c>
      <c r="I6985" t="s">
        <v>142</v>
      </c>
      <c r="J6985" t="s">
        <v>854</v>
      </c>
      <c r="K6985" t="s">
        <v>155</v>
      </c>
      <c r="L6985">
        <v>4700039073</v>
      </c>
      <c r="M6985" t="s">
        <v>1394</v>
      </c>
    </row>
    <row r="6986" spans="3:13">
      <c r="C6986">
        <v>2100300025</v>
      </c>
      <c r="D6986">
        <v>6431000</v>
      </c>
      <c r="E6986" t="s">
        <v>188</v>
      </c>
      <c r="F6986">
        <v>5104010115</v>
      </c>
      <c r="G6986">
        <v>90.78</v>
      </c>
      <c r="I6986" t="s">
        <v>142</v>
      </c>
      <c r="J6986" t="s">
        <v>854</v>
      </c>
      <c r="K6986" t="s">
        <v>155</v>
      </c>
      <c r="L6986">
        <v>4700036993</v>
      </c>
      <c r="M6986" t="s">
        <v>1395</v>
      </c>
    </row>
    <row r="6987" spans="3:13">
      <c r="C6987">
        <v>2100300025</v>
      </c>
      <c r="D6987">
        <v>6431000</v>
      </c>
      <c r="E6987" t="s">
        <v>188</v>
      </c>
      <c r="F6987">
        <v>5104010115</v>
      </c>
      <c r="G6987">
        <v>56.18</v>
      </c>
      <c r="I6987" t="s">
        <v>142</v>
      </c>
      <c r="J6987" t="s">
        <v>855</v>
      </c>
      <c r="K6987" t="s">
        <v>155</v>
      </c>
      <c r="L6987">
        <v>4700037124</v>
      </c>
      <c r="M6987" t="s">
        <v>1396</v>
      </c>
    </row>
    <row r="6988" spans="3:13">
      <c r="C6988">
        <v>2100300025</v>
      </c>
      <c r="D6988">
        <v>6431000</v>
      </c>
      <c r="E6988" t="s">
        <v>188</v>
      </c>
      <c r="F6988">
        <v>5104010115</v>
      </c>
      <c r="G6988">
        <v>105.96</v>
      </c>
      <c r="I6988" t="s">
        <v>142</v>
      </c>
      <c r="J6988" t="s">
        <v>856</v>
      </c>
      <c r="K6988" t="s">
        <v>155</v>
      </c>
      <c r="L6988">
        <v>4700040151</v>
      </c>
      <c r="M6988" t="s">
        <v>1397</v>
      </c>
    </row>
    <row r="6989" spans="3:13">
      <c r="C6989">
        <v>2100300025</v>
      </c>
      <c r="D6989">
        <v>6431000</v>
      </c>
      <c r="E6989" t="s">
        <v>188</v>
      </c>
      <c r="F6989">
        <v>5104010115</v>
      </c>
      <c r="G6989">
        <v>635.92999999999995</v>
      </c>
      <c r="I6989" t="s">
        <v>142</v>
      </c>
      <c r="J6989" t="s">
        <v>968</v>
      </c>
      <c r="K6989" t="s">
        <v>155</v>
      </c>
      <c r="L6989">
        <v>4700037988</v>
      </c>
      <c r="M6989" t="s">
        <v>1398</v>
      </c>
    </row>
    <row r="6990" spans="3:13">
      <c r="C6990">
        <v>2100300025</v>
      </c>
      <c r="D6990">
        <v>6431000</v>
      </c>
      <c r="E6990" t="s">
        <v>188</v>
      </c>
      <c r="F6990">
        <v>5104010115</v>
      </c>
      <c r="G6990">
        <v>329.7</v>
      </c>
      <c r="I6990" t="s">
        <v>142</v>
      </c>
      <c r="J6990" t="s">
        <v>1399</v>
      </c>
      <c r="K6990" t="s">
        <v>155</v>
      </c>
      <c r="L6990">
        <v>4700040691</v>
      </c>
      <c r="M6990" t="s">
        <v>1400</v>
      </c>
    </row>
    <row r="6991" spans="3:13">
      <c r="C6991">
        <v>2100300025</v>
      </c>
      <c r="D6991">
        <v>6431000</v>
      </c>
      <c r="E6991" t="s">
        <v>188</v>
      </c>
      <c r="F6991">
        <v>5104010115</v>
      </c>
      <c r="G6991">
        <v>202.38</v>
      </c>
      <c r="I6991" t="s">
        <v>142</v>
      </c>
      <c r="J6991" t="s">
        <v>969</v>
      </c>
      <c r="K6991" t="s">
        <v>155</v>
      </c>
      <c r="L6991">
        <v>4700041327</v>
      </c>
      <c r="M6991" t="s">
        <v>1401</v>
      </c>
    </row>
    <row r="6992" spans="3:13">
      <c r="C6992">
        <v>2100300025</v>
      </c>
      <c r="D6992">
        <v>6431000</v>
      </c>
      <c r="E6992" t="s">
        <v>188</v>
      </c>
      <c r="F6992">
        <v>5104010115</v>
      </c>
      <c r="G6992">
        <v>130.97</v>
      </c>
      <c r="I6992" t="s">
        <v>142</v>
      </c>
      <c r="J6992" t="s">
        <v>857</v>
      </c>
      <c r="K6992" t="s">
        <v>155</v>
      </c>
      <c r="L6992">
        <v>4700040183</v>
      </c>
      <c r="M6992" t="s">
        <v>1402</v>
      </c>
    </row>
    <row r="6993" spans="3:13">
      <c r="C6993">
        <v>2100300025</v>
      </c>
      <c r="D6993">
        <v>6431000</v>
      </c>
      <c r="E6993" t="s">
        <v>188</v>
      </c>
      <c r="F6993">
        <v>5104010115</v>
      </c>
      <c r="G6993">
        <v>463.58</v>
      </c>
      <c r="I6993" t="s">
        <v>142</v>
      </c>
      <c r="J6993" t="s">
        <v>970</v>
      </c>
      <c r="K6993" t="s">
        <v>155</v>
      </c>
      <c r="L6993">
        <v>4700042222</v>
      </c>
      <c r="M6993" t="s">
        <v>1403</v>
      </c>
    </row>
    <row r="6994" spans="3:13">
      <c r="C6994">
        <v>2100300025</v>
      </c>
      <c r="D6994">
        <v>6431000</v>
      </c>
      <c r="E6994" t="s">
        <v>188</v>
      </c>
      <c r="F6994">
        <v>5104010115</v>
      </c>
      <c r="G6994">
        <v>860.56</v>
      </c>
      <c r="I6994" t="s">
        <v>142</v>
      </c>
      <c r="J6994" t="s">
        <v>858</v>
      </c>
      <c r="K6994" t="s">
        <v>155</v>
      </c>
      <c r="L6994">
        <v>4700040977</v>
      </c>
      <c r="M6994" t="s">
        <v>1404</v>
      </c>
    </row>
    <row r="6995" spans="3:13">
      <c r="C6995">
        <v>2100300025</v>
      </c>
      <c r="D6995">
        <v>6431000</v>
      </c>
      <c r="E6995" t="s">
        <v>188</v>
      </c>
      <c r="F6995">
        <v>5104010115</v>
      </c>
      <c r="G6995">
        <v>308.45999999999998</v>
      </c>
      <c r="I6995" t="s">
        <v>142</v>
      </c>
      <c r="J6995" t="s">
        <v>972</v>
      </c>
      <c r="K6995" t="s">
        <v>155</v>
      </c>
      <c r="L6995">
        <v>4700042029</v>
      </c>
      <c r="M6995" t="s">
        <v>1405</v>
      </c>
    </row>
    <row r="6996" spans="3:13">
      <c r="C6996">
        <v>2100300025</v>
      </c>
      <c r="D6996">
        <v>6431000</v>
      </c>
      <c r="E6996" t="s">
        <v>188</v>
      </c>
      <c r="F6996">
        <v>5104010115</v>
      </c>
      <c r="G6996">
        <v>131.62</v>
      </c>
      <c r="I6996" t="s">
        <v>142</v>
      </c>
      <c r="J6996" t="s">
        <v>973</v>
      </c>
      <c r="K6996" t="s">
        <v>155</v>
      </c>
      <c r="L6996">
        <v>4700043511</v>
      </c>
      <c r="M6996" t="s">
        <v>1406</v>
      </c>
    </row>
    <row r="6997" spans="3:13">
      <c r="C6997">
        <v>2100300025</v>
      </c>
      <c r="D6997">
        <v>6431000</v>
      </c>
      <c r="E6997" t="s">
        <v>188</v>
      </c>
      <c r="F6997">
        <v>5104010115</v>
      </c>
      <c r="G6997">
        <v>31.98</v>
      </c>
      <c r="I6997" t="s">
        <v>142</v>
      </c>
      <c r="J6997" t="s">
        <v>976</v>
      </c>
      <c r="K6997" t="s">
        <v>155</v>
      </c>
      <c r="L6997">
        <v>4700042303</v>
      </c>
      <c r="M6997" t="s">
        <v>1407</v>
      </c>
    </row>
    <row r="6998" spans="3:13">
      <c r="C6998">
        <v>2100300025</v>
      </c>
      <c r="D6998">
        <v>6431000</v>
      </c>
      <c r="E6998" t="s">
        <v>188</v>
      </c>
      <c r="F6998">
        <v>5104010115</v>
      </c>
      <c r="G6998" s="13">
        <v>1788.35</v>
      </c>
      <c r="I6998" t="s">
        <v>142</v>
      </c>
      <c r="J6998" t="s">
        <v>975</v>
      </c>
      <c r="K6998" t="s">
        <v>155</v>
      </c>
      <c r="L6998">
        <v>4700040961</v>
      </c>
      <c r="M6998" t="s">
        <v>1408</v>
      </c>
    </row>
    <row r="6999" spans="3:13">
      <c r="C6999">
        <v>2100300025</v>
      </c>
      <c r="D6999">
        <v>6431000</v>
      </c>
      <c r="E6999" t="s">
        <v>188</v>
      </c>
      <c r="F6999">
        <v>5104010115</v>
      </c>
      <c r="G6999">
        <v>355.24</v>
      </c>
      <c r="I6999" t="s">
        <v>142</v>
      </c>
      <c r="J6999" t="s">
        <v>987</v>
      </c>
      <c r="K6999" t="s">
        <v>155</v>
      </c>
      <c r="L6999">
        <v>4700048313</v>
      </c>
      <c r="M6999" t="s">
        <v>1409</v>
      </c>
    </row>
    <row r="7000" spans="3:13">
      <c r="C7000">
        <v>2100300025</v>
      </c>
      <c r="D7000">
        <v>6431000</v>
      </c>
      <c r="E7000" t="s">
        <v>188</v>
      </c>
      <c r="F7000">
        <v>5104010115</v>
      </c>
      <c r="G7000">
        <v>50.8</v>
      </c>
      <c r="I7000" t="s">
        <v>142</v>
      </c>
      <c r="J7000" t="s">
        <v>557</v>
      </c>
      <c r="K7000" t="s">
        <v>155</v>
      </c>
      <c r="L7000">
        <v>4700044735</v>
      </c>
      <c r="M7000" t="s">
        <v>1410</v>
      </c>
    </row>
    <row r="7001" spans="3:13">
      <c r="C7001">
        <v>2100300025</v>
      </c>
      <c r="D7001">
        <v>6431000</v>
      </c>
      <c r="E7001" t="s">
        <v>188</v>
      </c>
      <c r="F7001">
        <v>5104010115</v>
      </c>
      <c r="G7001">
        <v>817.66</v>
      </c>
      <c r="I7001" t="s">
        <v>142</v>
      </c>
      <c r="J7001" t="s">
        <v>865</v>
      </c>
      <c r="K7001" t="s">
        <v>155</v>
      </c>
      <c r="L7001">
        <v>4700048510</v>
      </c>
      <c r="M7001" t="s">
        <v>1411</v>
      </c>
    </row>
    <row r="7002" spans="3:13">
      <c r="C7002">
        <v>2100300025</v>
      </c>
      <c r="D7002">
        <v>6431000</v>
      </c>
      <c r="E7002" t="s">
        <v>188</v>
      </c>
      <c r="F7002">
        <v>5104010115</v>
      </c>
      <c r="G7002">
        <v>36.71</v>
      </c>
      <c r="I7002" t="s">
        <v>142</v>
      </c>
      <c r="J7002" t="s">
        <v>866</v>
      </c>
      <c r="K7002" t="s">
        <v>155</v>
      </c>
      <c r="L7002">
        <v>4700006522</v>
      </c>
      <c r="M7002" t="s">
        <v>1412</v>
      </c>
    </row>
    <row r="7003" spans="3:13">
      <c r="C7003">
        <v>2100300025</v>
      </c>
      <c r="D7003">
        <v>6431000</v>
      </c>
      <c r="E7003" t="s">
        <v>188</v>
      </c>
      <c r="F7003">
        <v>5104010115</v>
      </c>
      <c r="G7003" s="13">
        <v>1756.5</v>
      </c>
      <c r="I7003" t="s">
        <v>142</v>
      </c>
      <c r="J7003" t="s">
        <v>984</v>
      </c>
      <c r="K7003" t="s">
        <v>155</v>
      </c>
      <c r="L7003">
        <v>4700048231</v>
      </c>
      <c r="M7003" t="s">
        <v>1413</v>
      </c>
    </row>
    <row r="7004" spans="3:13">
      <c r="C7004">
        <v>2100300025</v>
      </c>
      <c r="D7004">
        <v>6436000</v>
      </c>
      <c r="E7004" t="s">
        <v>188</v>
      </c>
      <c r="F7004">
        <v>5104010115</v>
      </c>
      <c r="G7004">
        <v>53.03</v>
      </c>
      <c r="I7004" t="s">
        <v>142</v>
      </c>
      <c r="J7004" t="s">
        <v>941</v>
      </c>
      <c r="K7004" t="s">
        <v>155</v>
      </c>
      <c r="L7004">
        <v>4700029993</v>
      </c>
      <c r="M7004" t="s">
        <v>1414</v>
      </c>
    </row>
    <row r="7005" spans="3:13">
      <c r="C7005">
        <v>2100300025</v>
      </c>
      <c r="D7005">
        <v>6431000</v>
      </c>
      <c r="E7005" t="s">
        <v>188</v>
      </c>
      <c r="F7005">
        <v>5104010115</v>
      </c>
      <c r="G7005">
        <v>22.62</v>
      </c>
      <c r="I7005" t="s">
        <v>142</v>
      </c>
      <c r="J7005" t="s">
        <v>979</v>
      </c>
      <c r="K7005" t="s">
        <v>155</v>
      </c>
      <c r="L7005">
        <v>4700048201</v>
      </c>
      <c r="M7005" t="s">
        <v>1415</v>
      </c>
    </row>
    <row r="7006" spans="3:13">
      <c r="C7006">
        <v>2100300025</v>
      </c>
      <c r="D7006">
        <v>6431000</v>
      </c>
      <c r="E7006" t="s">
        <v>188</v>
      </c>
      <c r="F7006">
        <v>5104010115</v>
      </c>
      <c r="G7006">
        <v>540.35</v>
      </c>
      <c r="I7006" t="s">
        <v>142</v>
      </c>
      <c r="J7006" t="s">
        <v>965</v>
      </c>
      <c r="K7006" t="s">
        <v>155</v>
      </c>
      <c r="L7006">
        <v>4700038981</v>
      </c>
      <c r="M7006" t="s">
        <v>1394</v>
      </c>
    </row>
    <row r="7007" spans="3:13">
      <c r="C7007">
        <v>2100300025</v>
      </c>
      <c r="D7007">
        <v>6431000</v>
      </c>
      <c r="E7007" t="s">
        <v>188</v>
      </c>
      <c r="F7007">
        <v>5104010115</v>
      </c>
      <c r="G7007">
        <v>584.34</v>
      </c>
      <c r="I7007" t="s">
        <v>142</v>
      </c>
      <c r="J7007" t="s">
        <v>966</v>
      </c>
      <c r="K7007" t="s">
        <v>155</v>
      </c>
      <c r="L7007">
        <v>4700037861</v>
      </c>
      <c r="M7007" t="s">
        <v>1416</v>
      </c>
    </row>
    <row r="7008" spans="3:13">
      <c r="C7008">
        <v>2100300025</v>
      </c>
      <c r="D7008">
        <v>6431000</v>
      </c>
      <c r="E7008" t="s">
        <v>188</v>
      </c>
      <c r="F7008">
        <v>5104010115</v>
      </c>
      <c r="G7008">
        <v>38.79</v>
      </c>
      <c r="I7008" t="s">
        <v>142</v>
      </c>
      <c r="J7008" t="s">
        <v>985</v>
      </c>
      <c r="K7008" t="s">
        <v>155</v>
      </c>
      <c r="L7008">
        <v>4700001749</v>
      </c>
      <c r="M7008" t="s">
        <v>1417</v>
      </c>
    </row>
    <row r="7009" spans="3:14">
      <c r="C7009">
        <v>2100300025</v>
      </c>
      <c r="D7009">
        <v>6431000</v>
      </c>
      <c r="E7009" t="s">
        <v>188</v>
      </c>
      <c r="F7009">
        <v>5104010115</v>
      </c>
      <c r="G7009">
        <v>36.71</v>
      </c>
      <c r="I7009" t="s">
        <v>142</v>
      </c>
      <c r="J7009" t="s">
        <v>869</v>
      </c>
      <c r="K7009" t="s">
        <v>155</v>
      </c>
      <c r="L7009">
        <v>4700049850</v>
      </c>
      <c r="M7009" t="s">
        <v>1418</v>
      </c>
    </row>
    <row r="7010" spans="3:14">
      <c r="C7010">
        <v>2100300025</v>
      </c>
      <c r="D7010">
        <v>6431000</v>
      </c>
      <c r="E7010" t="s">
        <v>188</v>
      </c>
      <c r="F7010">
        <v>5104010115</v>
      </c>
      <c r="G7010">
        <v>39.32</v>
      </c>
      <c r="I7010" t="s">
        <v>142</v>
      </c>
      <c r="J7010" t="s">
        <v>869</v>
      </c>
      <c r="K7010" t="s">
        <v>155</v>
      </c>
      <c r="L7010">
        <v>4700049851</v>
      </c>
      <c r="M7010" t="s">
        <v>1419</v>
      </c>
    </row>
    <row r="7011" spans="3:14">
      <c r="C7011">
        <v>2100300025</v>
      </c>
      <c r="D7011">
        <v>6431000</v>
      </c>
      <c r="E7011" t="s">
        <v>188</v>
      </c>
      <c r="F7011">
        <v>5104010115</v>
      </c>
      <c r="G7011">
        <v>449.67</v>
      </c>
      <c r="I7011" t="s">
        <v>142</v>
      </c>
      <c r="J7011" t="s">
        <v>979</v>
      </c>
      <c r="K7011" t="s">
        <v>155</v>
      </c>
      <c r="L7011">
        <v>4700045867</v>
      </c>
      <c r="M7011" t="s">
        <v>1420</v>
      </c>
    </row>
    <row r="7012" spans="3:14">
      <c r="C7012">
        <v>2100300025</v>
      </c>
      <c r="D7012">
        <v>6431000</v>
      </c>
      <c r="E7012" t="s">
        <v>188</v>
      </c>
      <c r="F7012">
        <v>5104010115</v>
      </c>
      <c r="G7012" s="13">
        <v>1477.09</v>
      </c>
      <c r="I7012" t="s">
        <v>142</v>
      </c>
      <c r="J7012" t="s">
        <v>988</v>
      </c>
      <c r="K7012" t="s">
        <v>155</v>
      </c>
      <c r="L7012">
        <v>4700050530</v>
      </c>
      <c r="M7012" t="s">
        <v>1421</v>
      </c>
    </row>
    <row r="7013" spans="3:14">
      <c r="C7013">
        <v>2100300025</v>
      </c>
      <c r="D7013">
        <v>6431000</v>
      </c>
      <c r="E7013" t="s">
        <v>188</v>
      </c>
      <c r="F7013">
        <v>5104010115</v>
      </c>
      <c r="G7013">
        <v>6.07</v>
      </c>
      <c r="I7013" t="s">
        <v>142</v>
      </c>
      <c r="J7013" t="s">
        <v>978</v>
      </c>
      <c r="K7013" t="s">
        <v>155</v>
      </c>
      <c r="L7013">
        <v>4700048395</v>
      </c>
      <c r="M7013" t="s">
        <v>1422</v>
      </c>
    </row>
    <row r="7014" spans="3:14">
      <c r="C7014">
        <v>2100300025</v>
      </c>
      <c r="D7014">
        <v>6431000</v>
      </c>
      <c r="E7014" t="s">
        <v>188</v>
      </c>
      <c r="F7014">
        <v>5104010115</v>
      </c>
      <c r="G7014">
        <v>87.31</v>
      </c>
      <c r="I7014" t="s">
        <v>142</v>
      </c>
      <c r="J7014" t="s">
        <v>870</v>
      </c>
      <c r="K7014" t="s">
        <v>155</v>
      </c>
      <c r="L7014">
        <v>4700050331</v>
      </c>
      <c r="M7014" t="s">
        <v>1423</v>
      </c>
    </row>
    <row r="7015" spans="3:14">
      <c r="C7015">
        <v>2100300025</v>
      </c>
      <c r="D7015">
        <v>6436000</v>
      </c>
      <c r="E7015" t="s">
        <v>188</v>
      </c>
      <c r="F7015">
        <v>5104010115</v>
      </c>
      <c r="G7015">
        <v>-53.03</v>
      </c>
      <c r="I7015" t="s">
        <v>192</v>
      </c>
      <c r="J7015" t="s">
        <v>941</v>
      </c>
      <c r="K7015" t="s">
        <v>155</v>
      </c>
      <c r="L7015">
        <v>4900004304</v>
      </c>
      <c r="M7015" t="s">
        <v>1414</v>
      </c>
    </row>
    <row r="7016" spans="3:14">
      <c r="C7016">
        <v>2100300025</v>
      </c>
      <c r="D7016">
        <v>6431000</v>
      </c>
      <c r="E7016" t="s">
        <v>188</v>
      </c>
      <c r="F7016">
        <v>5101010199</v>
      </c>
      <c r="G7016">
        <v>-858.06</v>
      </c>
      <c r="I7016" t="s">
        <v>143</v>
      </c>
      <c r="J7016" t="s">
        <v>833</v>
      </c>
      <c r="K7016" t="s">
        <v>190</v>
      </c>
      <c r="L7016">
        <v>1800016601</v>
      </c>
      <c r="M7016" t="s">
        <v>1424</v>
      </c>
    </row>
    <row r="7017" spans="3:14">
      <c r="C7017">
        <v>2100300025</v>
      </c>
      <c r="D7017">
        <v>6431000</v>
      </c>
      <c r="E7017" t="s">
        <v>188</v>
      </c>
      <c r="F7017">
        <v>5101010199</v>
      </c>
      <c r="G7017" s="13">
        <v>-3925.16</v>
      </c>
      <c r="I7017" t="s">
        <v>143</v>
      </c>
      <c r="J7017" t="s">
        <v>851</v>
      </c>
      <c r="K7017" t="s">
        <v>190</v>
      </c>
      <c r="L7017">
        <v>1800025773</v>
      </c>
    </row>
    <row r="7018" spans="3:14">
      <c r="C7018">
        <v>2100300025</v>
      </c>
      <c r="D7018">
        <v>6431000</v>
      </c>
      <c r="E7018" t="s">
        <v>188</v>
      </c>
      <c r="F7018">
        <v>5102010199</v>
      </c>
      <c r="G7018" s="13">
        <v>-50000</v>
      </c>
      <c r="I7018" t="s">
        <v>143</v>
      </c>
      <c r="J7018" t="s">
        <v>936</v>
      </c>
      <c r="K7018" t="s">
        <v>151</v>
      </c>
      <c r="L7018">
        <v>1800017925</v>
      </c>
    </row>
    <row r="7019" spans="3:14">
      <c r="C7019">
        <v>2100300025</v>
      </c>
      <c r="D7019">
        <v>6431000</v>
      </c>
      <c r="E7019" t="s">
        <v>188</v>
      </c>
      <c r="F7019">
        <v>5102010199</v>
      </c>
      <c r="G7019" s="13">
        <v>-7750</v>
      </c>
      <c r="I7019" t="s">
        <v>143</v>
      </c>
      <c r="J7019" t="s">
        <v>557</v>
      </c>
      <c r="K7019" t="s">
        <v>151</v>
      </c>
      <c r="L7019">
        <v>1800028717</v>
      </c>
    </row>
    <row r="7020" spans="3:14">
      <c r="C7020">
        <v>2100300025</v>
      </c>
      <c r="D7020">
        <v>6431000</v>
      </c>
      <c r="E7020" t="s">
        <v>188</v>
      </c>
      <c r="F7020">
        <v>5104010115</v>
      </c>
      <c r="G7020" s="13">
        <v>-1670</v>
      </c>
      <c r="I7020" t="s">
        <v>143</v>
      </c>
      <c r="J7020" t="s">
        <v>1068</v>
      </c>
      <c r="K7020" t="s">
        <v>155</v>
      </c>
      <c r="L7020">
        <v>1800000120</v>
      </c>
    </row>
    <row r="7021" spans="3:14">
      <c r="C7021">
        <v>2100300025</v>
      </c>
      <c r="D7021">
        <v>6326000</v>
      </c>
      <c r="E7021" t="s">
        <v>188</v>
      </c>
      <c r="F7021">
        <v>5104010104</v>
      </c>
      <c r="G7021" s="13">
        <v>-1564</v>
      </c>
      <c r="I7021" t="s">
        <v>150</v>
      </c>
      <c r="J7021" t="s">
        <v>787</v>
      </c>
      <c r="K7021" t="s">
        <v>69</v>
      </c>
      <c r="L7021">
        <v>8001620855</v>
      </c>
      <c r="N7021" t="s">
        <v>1031</v>
      </c>
    </row>
    <row r="7022" spans="3:14">
      <c r="C7022">
        <v>2100300025</v>
      </c>
      <c r="D7022">
        <v>6426000</v>
      </c>
      <c r="E7022" t="s">
        <v>188</v>
      </c>
      <c r="F7022">
        <v>5104010104</v>
      </c>
      <c r="G7022" s="13">
        <v>15450</v>
      </c>
      <c r="I7022" t="s">
        <v>150</v>
      </c>
      <c r="J7022" t="s">
        <v>806</v>
      </c>
      <c r="K7022" t="s">
        <v>69</v>
      </c>
      <c r="L7022">
        <v>8001601171</v>
      </c>
      <c r="N7022" t="s">
        <v>1042</v>
      </c>
    </row>
    <row r="7023" spans="3:14">
      <c r="C7023">
        <v>2100300025</v>
      </c>
      <c r="D7023">
        <v>6426000</v>
      </c>
      <c r="E7023" t="s">
        <v>188</v>
      </c>
      <c r="F7023">
        <v>5104010104</v>
      </c>
      <c r="G7023" s="13">
        <v>15190</v>
      </c>
      <c r="I7023" t="s">
        <v>150</v>
      </c>
      <c r="J7023" t="s">
        <v>890</v>
      </c>
      <c r="K7023" t="s">
        <v>69</v>
      </c>
      <c r="L7023">
        <v>8001711767</v>
      </c>
      <c r="N7023" t="s">
        <v>1031</v>
      </c>
    </row>
    <row r="7024" spans="3:14">
      <c r="C7024">
        <v>2100300025</v>
      </c>
      <c r="D7024">
        <v>6426000</v>
      </c>
      <c r="E7024" t="s">
        <v>188</v>
      </c>
      <c r="F7024">
        <v>5104010104</v>
      </c>
      <c r="G7024" s="13">
        <v>6750</v>
      </c>
      <c r="I7024" t="s">
        <v>150</v>
      </c>
      <c r="J7024" t="s">
        <v>891</v>
      </c>
      <c r="K7024" t="s">
        <v>69</v>
      </c>
      <c r="L7024">
        <v>8001700992</v>
      </c>
      <c r="N7024" t="s">
        <v>1031</v>
      </c>
    </row>
    <row r="7025" spans="3:14">
      <c r="C7025">
        <v>2100300025</v>
      </c>
      <c r="D7025">
        <v>6426000</v>
      </c>
      <c r="E7025" t="s">
        <v>188</v>
      </c>
      <c r="F7025">
        <v>5104010104</v>
      </c>
      <c r="G7025" s="13">
        <v>18400</v>
      </c>
      <c r="I7025" t="s">
        <v>150</v>
      </c>
      <c r="J7025" t="s">
        <v>891</v>
      </c>
      <c r="K7025" t="s">
        <v>69</v>
      </c>
      <c r="L7025">
        <v>8001693059</v>
      </c>
      <c r="N7025" t="s">
        <v>1031</v>
      </c>
    </row>
    <row r="7026" spans="3:14">
      <c r="C7026">
        <v>2100300025</v>
      </c>
      <c r="D7026">
        <v>6426000</v>
      </c>
      <c r="E7026" t="s">
        <v>188</v>
      </c>
      <c r="F7026">
        <v>5104010104</v>
      </c>
      <c r="G7026" s="13">
        <v>13015</v>
      </c>
      <c r="I7026" t="s">
        <v>150</v>
      </c>
      <c r="J7026" t="s">
        <v>900</v>
      </c>
      <c r="K7026" t="s">
        <v>69</v>
      </c>
      <c r="L7026">
        <v>8001768259</v>
      </c>
      <c r="N7026" t="s">
        <v>1425</v>
      </c>
    </row>
    <row r="7027" spans="3:14">
      <c r="C7027">
        <v>2100300025</v>
      </c>
      <c r="D7027">
        <v>6426000</v>
      </c>
      <c r="E7027" t="s">
        <v>188</v>
      </c>
      <c r="F7027">
        <v>5104010104</v>
      </c>
      <c r="G7027" s="13">
        <v>114000</v>
      </c>
      <c r="I7027" t="s">
        <v>150</v>
      </c>
      <c r="J7027" t="s">
        <v>901</v>
      </c>
      <c r="K7027" t="s">
        <v>69</v>
      </c>
      <c r="L7027">
        <v>8001810918</v>
      </c>
      <c r="N7027" t="s">
        <v>1031</v>
      </c>
    </row>
    <row r="7028" spans="3:14">
      <c r="C7028">
        <v>2100300025</v>
      </c>
      <c r="D7028">
        <v>6426000</v>
      </c>
      <c r="E7028" t="s">
        <v>188</v>
      </c>
      <c r="F7028">
        <v>5104010104</v>
      </c>
      <c r="G7028" s="13">
        <v>-30000</v>
      </c>
      <c r="I7028" t="s">
        <v>150</v>
      </c>
      <c r="J7028" t="s">
        <v>906</v>
      </c>
      <c r="K7028" t="s">
        <v>69</v>
      </c>
      <c r="L7028">
        <v>8000061782</v>
      </c>
      <c r="N7028" t="s">
        <v>1031</v>
      </c>
    </row>
    <row r="7029" spans="3:14">
      <c r="C7029">
        <v>2100300025</v>
      </c>
      <c r="D7029">
        <v>6426000</v>
      </c>
      <c r="E7029" t="s">
        <v>188</v>
      </c>
      <c r="F7029">
        <v>5104010104</v>
      </c>
      <c r="G7029" s="13">
        <v>-6750</v>
      </c>
      <c r="I7029" t="s">
        <v>150</v>
      </c>
      <c r="J7029" t="s">
        <v>891</v>
      </c>
      <c r="K7029" t="s">
        <v>69</v>
      </c>
      <c r="L7029">
        <v>8001700986</v>
      </c>
      <c r="N7029" t="s">
        <v>1031</v>
      </c>
    </row>
    <row r="7030" spans="3:14">
      <c r="C7030">
        <v>2100300025</v>
      </c>
      <c r="D7030">
        <v>6426000</v>
      </c>
      <c r="E7030" t="s">
        <v>188</v>
      </c>
      <c r="F7030">
        <v>5104010104</v>
      </c>
      <c r="G7030" s="13">
        <v>18400</v>
      </c>
      <c r="I7030" t="s">
        <v>150</v>
      </c>
      <c r="J7030" t="s">
        <v>998</v>
      </c>
      <c r="K7030" t="s">
        <v>69</v>
      </c>
      <c r="L7030">
        <v>8001712118</v>
      </c>
      <c r="N7030" t="s">
        <v>1031</v>
      </c>
    </row>
    <row r="7031" spans="3:14">
      <c r="C7031">
        <v>2100300025</v>
      </c>
      <c r="D7031">
        <v>6426000</v>
      </c>
      <c r="E7031" t="s">
        <v>188</v>
      </c>
      <c r="F7031">
        <v>5104010104</v>
      </c>
      <c r="G7031" s="13">
        <v>-114000</v>
      </c>
      <c r="I7031" t="s">
        <v>150</v>
      </c>
      <c r="J7031" t="s">
        <v>896</v>
      </c>
      <c r="K7031" t="s">
        <v>69</v>
      </c>
      <c r="L7031">
        <v>8001810917</v>
      </c>
      <c r="N7031" t="s">
        <v>1031</v>
      </c>
    </row>
    <row r="7032" spans="3:14">
      <c r="C7032">
        <v>2100300025</v>
      </c>
      <c r="D7032">
        <v>6426000</v>
      </c>
      <c r="E7032" t="s">
        <v>188</v>
      </c>
      <c r="F7032">
        <v>5104010104</v>
      </c>
      <c r="G7032" s="13">
        <v>10800</v>
      </c>
      <c r="I7032" t="s">
        <v>150</v>
      </c>
      <c r="J7032" t="s">
        <v>901</v>
      </c>
      <c r="K7032" t="s">
        <v>69</v>
      </c>
      <c r="L7032">
        <v>8001796618</v>
      </c>
      <c r="N7032" t="s">
        <v>1031</v>
      </c>
    </row>
    <row r="7033" spans="3:14">
      <c r="C7033">
        <v>2100300025</v>
      </c>
      <c r="D7033">
        <v>6426000</v>
      </c>
      <c r="E7033" t="s">
        <v>188</v>
      </c>
      <c r="F7033">
        <v>5104010104</v>
      </c>
      <c r="G7033" s="13">
        <v>7000</v>
      </c>
      <c r="I7033" t="s">
        <v>150</v>
      </c>
      <c r="J7033" t="s">
        <v>871</v>
      </c>
      <c r="K7033" t="s">
        <v>69</v>
      </c>
      <c r="L7033">
        <v>8001825554</v>
      </c>
      <c r="N7033" t="s">
        <v>1031</v>
      </c>
    </row>
    <row r="7034" spans="3:14">
      <c r="C7034">
        <v>2100300025</v>
      </c>
      <c r="D7034">
        <v>6426000</v>
      </c>
      <c r="E7034" t="s">
        <v>188</v>
      </c>
      <c r="F7034">
        <v>5104010104</v>
      </c>
      <c r="G7034" s="13">
        <v>201695</v>
      </c>
      <c r="I7034" t="s">
        <v>150</v>
      </c>
      <c r="J7034" t="s">
        <v>901</v>
      </c>
      <c r="K7034" t="s">
        <v>69</v>
      </c>
      <c r="L7034">
        <v>8001802508</v>
      </c>
      <c r="N7034" t="s">
        <v>1031</v>
      </c>
    </row>
    <row r="7035" spans="3:14">
      <c r="C7035">
        <v>2100300025</v>
      </c>
      <c r="D7035">
        <v>6426000</v>
      </c>
      <c r="E7035" t="s">
        <v>188</v>
      </c>
      <c r="F7035">
        <v>5104010104</v>
      </c>
      <c r="G7035" s="13">
        <v>46224</v>
      </c>
      <c r="I7035" t="s">
        <v>150</v>
      </c>
      <c r="J7035" t="s">
        <v>896</v>
      </c>
      <c r="K7035" t="s">
        <v>69</v>
      </c>
      <c r="L7035">
        <v>8001802534</v>
      </c>
      <c r="N7035" t="s">
        <v>1031</v>
      </c>
    </row>
    <row r="7036" spans="3:14">
      <c r="C7036">
        <v>2100300025</v>
      </c>
      <c r="D7036">
        <v>6426000</v>
      </c>
      <c r="E7036" t="s">
        <v>188</v>
      </c>
      <c r="F7036">
        <v>5104010104</v>
      </c>
      <c r="G7036" s="13">
        <v>-5993</v>
      </c>
      <c r="I7036" t="s">
        <v>150</v>
      </c>
      <c r="J7036" t="s">
        <v>555</v>
      </c>
      <c r="K7036" t="s">
        <v>69</v>
      </c>
      <c r="L7036">
        <v>8000105355</v>
      </c>
      <c r="N7036" t="s">
        <v>1426</v>
      </c>
    </row>
    <row r="7037" spans="3:14">
      <c r="C7037">
        <v>2100300025</v>
      </c>
      <c r="D7037">
        <v>6426000</v>
      </c>
      <c r="E7037" t="s">
        <v>188</v>
      </c>
      <c r="F7037">
        <v>5104010104</v>
      </c>
      <c r="G7037" s="13">
        <v>-28440</v>
      </c>
      <c r="I7037" t="s">
        <v>150</v>
      </c>
      <c r="J7037" t="s">
        <v>912</v>
      </c>
      <c r="K7037" t="s">
        <v>69</v>
      </c>
      <c r="L7037">
        <v>8000154116</v>
      </c>
      <c r="N7037" t="s">
        <v>1031</v>
      </c>
    </row>
    <row r="7038" spans="3:14">
      <c r="C7038">
        <v>2100300025</v>
      </c>
      <c r="D7038">
        <v>6426000</v>
      </c>
      <c r="E7038" t="s">
        <v>188</v>
      </c>
      <c r="F7038">
        <v>5104010104</v>
      </c>
      <c r="G7038" s="13">
        <v>12370</v>
      </c>
      <c r="I7038" t="s">
        <v>150</v>
      </c>
      <c r="J7038" t="s">
        <v>877</v>
      </c>
      <c r="K7038" t="s">
        <v>69</v>
      </c>
      <c r="L7038">
        <v>8001597395</v>
      </c>
      <c r="N7038" t="s">
        <v>1427</v>
      </c>
    </row>
    <row r="7039" spans="3:14">
      <c r="C7039">
        <v>2100300025</v>
      </c>
      <c r="D7039">
        <v>6426000</v>
      </c>
      <c r="E7039" t="s">
        <v>188</v>
      </c>
      <c r="F7039">
        <v>5104010104</v>
      </c>
      <c r="G7039" s="13">
        <v>116000</v>
      </c>
      <c r="I7039" t="s">
        <v>150</v>
      </c>
      <c r="J7039" t="s">
        <v>564</v>
      </c>
      <c r="K7039" t="s">
        <v>69</v>
      </c>
      <c r="L7039">
        <v>8000373990</v>
      </c>
      <c r="N7039" t="s">
        <v>1031</v>
      </c>
    </row>
    <row r="7040" spans="3:14">
      <c r="C7040">
        <v>2100300025</v>
      </c>
      <c r="D7040">
        <v>6426000</v>
      </c>
      <c r="E7040" t="s">
        <v>188</v>
      </c>
      <c r="F7040">
        <v>5104010104</v>
      </c>
      <c r="G7040" s="13">
        <v>-12370</v>
      </c>
      <c r="I7040" t="s">
        <v>150</v>
      </c>
      <c r="J7040" t="s">
        <v>877</v>
      </c>
      <c r="K7040" t="s">
        <v>69</v>
      </c>
      <c r="L7040">
        <v>8001602912</v>
      </c>
      <c r="N7040" t="s">
        <v>1427</v>
      </c>
    </row>
    <row r="7041" spans="3:14">
      <c r="C7041">
        <v>2100300025</v>
      </c>
      <c r="D7041">
        <v>6426000</v>
      </c>
      <c r="E7041" t="s">
        <v>188</v>
      </c>
      <c r="F7041">
        <v>5104010104</v>
      </c>
      <c r="G7041" s="13">
        <v>12370</v>
      </c>
      <c r="I7041" t="s">
        <v>150</v>
      </c>
      <c r="J7041" t="s">
        <v>877</v>
      </c>
      <c r="K7041" t="s">
        <v>69</v>
      </c>
      <c r="L7041">
        <v>8001602914</v>
      </c>
      <c r="N7041" t="s">
        <v>1427</v>
      </c>
    </row>
    <row r="7042" spans="3:14">
      <c r="C7042">
        <v>2100300025</v>
      </c>
      <c r="D7042">
        <v>6426000</v>
      </c>
      <c r="E7042" t="s">
        <v>188</v>
      </c>
      <c r="F7042">
        <v>5104010104</v>
      </c>
      <c r="G7042" s="13">
        <v>-7585</v>
      </c>
      <c r="I7042" t="s">
        <v>150</v>
      </c>
      <c r="J7042" t="s">
        <v>877</v>
      </c>
      <c r="K7042" t="s">
        <v>69</v>
      </c>
      <c r="L7042">
        <v>8001602916</v>
      </c>
      <c r="N7042" t="s">
        <v>1428</v>
      </c>
    </row>
    <row r="7043" spans="3:14">
      <c r="C7043">
        <v>2100300025</v>
      </c>
      <c r="D7043">
        <v>6426000</v>
      </c>
      <c r="E7043" t="s">
        <v>188</v>
      </c>
      <c r="F7043">
        <v>5104010104</v>
      </c>
      <c r="G7043" s="13">
        <v>7585</v>
      </c>
      <c r="I7043" t="s">
        <v>150</v>
      </c>
      <c r="J7043" t="s">
        <v>806</v>
      </c>
      <c r="K7043" t="s">
        <v>69</v>
      </c>
      <c r="L7043">
        <v>8001602919</v>
      </c>
      <c r="N7043" t="s">
        <v>1428</v>
      </c>
    </row>
    <row r="7044" spans="3:14">
      <c r="C7044">
        <v>2100300025</v>
      </c>
      <c r="D7044">
        <v>6426000</v>
      </c>
      <c r="E7044" t="s">
        <v>188</v>
      </c>
      <c r="F7044">
        <v>5104010104</v>
      </c>
      <c r="G7044" s="13">
        <v>7585</v>
      </c>
      <c r="I7044" t="s">
        <v>150</v>
      </c>
      <c r="J7044" t="s">
        <v>877</v>
      </c>
      <c r="K7044" t="s">
        <v>69</v>
      </c>
      <c r="L7044">
        <v>8001597397</v>
      </c>
      <c r="N7044" t="s">
        <v>1428</v>
      </c>
    </row>
    <row r="7045" spans="3:14">
      <c r="C7045">
        <v>2100300025</v>
      </c>
      <c r="D7045">
        <v>6426000</v>
      </c>
      <c r="E7045" t="s">
        <v>188</v>
      </c>
      <c r="F7045">
        <v>5104010104</v>
      </c>
      <c r="G7045" s="13">
        <v>6945</v>
      </c>
      <c r="I7045" t="s">
        <v>150</v>
      </c>
      <c r="J7045" t="s">
        <v>878</v>
      </c>
      <c r="K7045" t="s">
        <v>69</v>
      </c>
      <c r="L7045">
        <v>8001607837</v>
      </c>
      <c r="N7045" t="s">
        <v>1429</v>
      </c>
    </row>
    <row r="7046" spans="3:14">
      <c r="C7046">
        <v>2100300025</v>
      </c>
      <c r="D7046">
        <v>6426000</v>
      </c>
      <c r="E7046" t="s">
        <v>188</v>
      </c>
      <c r="F7046">
        <v>5104010104</v>
      </c>
      <c r="G7046" s="13">
        <v>8700</v>
      </c>
      <c r="I7046" t="s">
        <v>150</v>
      </c>
      <c r="J7046" t="s">
        <v>878</v>
      </c>
      <c r="K7046" t="s">
        <v>69</v>
      </c>
      <c r="L7046">
        <v>8001609433</v>
      </c>
      <c r="N7046" t="s">
        <v>1031</v>
      </c>
    </row>
    <row r="7047" spans="3:14">
      <c r="C7047">
        <v>2100300025</v>
      </c>
      <c r="D7047">
        <v>6426000</v>
      </c>
      <c r="E7047" t="s">
        <v>188</v>
      </c>
      <c r="F7047">
        <v>5104010104</v>
      </c>
      <c r="G7047" s="13">
        <v>6420</v>
      </c>
      <c r="I7047" t="s">
        <v>150</v>
      </c>
      <c r="J7047" t="s">
        <v>806</v>
      </c>
      <c r="K7047" t="s">
        <v>69</v>
      </c>
      <c r="L7047">
        <v>8001602364</v>
      </c>
      <c r="N7047" t="s">
        <v>1042</v>
      </c>
    </row>
    <row r="7048" spans="3:14">
      <c r="C7048">
        <v>2100300025</v>
      </c>
      <c r="D7048">
        <v>6426000</v>
      </c>
      <c r="E7048" t="s">
        <v>188</v>
      </c>
      <c r="F7048">
        <v>5104010104</v>
      </c>
      <c r="G7048" s="13">
        <v>75000</v>
      </c>
      <c r="I7048" t="s">
        <v>150</v>
      </c>
      <c r="J7048" t="s">
        <v>811</v>
      </c>
      <c r="K7048" t="s">
        <v>69</v>
      </c>
      <c r="L7048">
        <v>8001712725</v>
      </c>
      <c r="N7048" t="s">
        <v>1031</v>
      </c>
    </row>
    <row r="7049" spans="3:14">
      <c r="C7049">
        <v>2100300025</v>
      </c>
      <c r="D7049">
        <v>6426000</v>
      </c>
      <c r="E7049" t="s">
        <v>188</v>
      </c>
      <c r="F7049">
        <v>5104010104</v>
      </c>
      <c r="G7049" s="13">
        <v>19500</v>
      </c>
      <c r="I7049" t="s">
        <v>150</v>
      </c>
      <c r="J7049" t="s">
        <v>885</v>
      </c>
      <c r="K7049" t="s">
        <v>69</v>
      </c>
      <c r="L7049">
        <v>8001712728</v>
      </c>
      <c r="N7049" t="s">
        <v>1031</v>
      </c>
    </row>
    <row r="7050" spans="3:14">
      <c r="C7050">
        <v>2100300025</v>
      </c>
      <c r="D7050">
        <v>6426000</v>
      </c>
      <c r="E7050" t="s">
        <v>188</v>
      </c>
      <c r="F7050">
        <v>5104010104</v>
      </c>
      <c r="G7050" s="13">
        <v>9575</v>
      </c>
      <c r="I7050" t="s">
        <v>150</v>
      </c>
      <c r="J7050" t="s">
        <v>891</v>
      </c>
      <c r="K7050" t="s">
        <v>69</v>
      </c>
      <c r="L7050">
        <v>8001694505</v>
      </c>
      <c r="N7050" t="s">
        <v>1430</v>
      </c>
    </row>
    <row r="7051" spans="3:14">
      <c r="C7051">
        <v>2100300025</v>
      </c>
      <c r="D7051">
        <v>6426000</v>
      </c>
      <c r="E7051" t="s">
        <v>188</v>
      </c>
      <c r="F7051">
        <v>5104010104</v>
      </c>
      <c r="G7051" s="13">
        <v>6750</v>
      </c>
      <c r="I7051" t="s">
        <v>150</v>
      </c>
      <c r="J7051" t="s">
        <v>891</v>
      </c>
      <c r="K7051" t="s">
        <v>69</v>
      </c>
      <c r="L7051">
        <v>8001693034</v>
      </c>
      <c r="N7051" t="s">
        <v>1031</v>
      </c>
    </row>
    <row r="7052" spans="3:14">
      <c r="C7052">
        <v>2100300025</v>
      </c>
      <c r="D7052">
        <v>6426000</v>
      </c>
      <c r="E7052" t="s">
        <v>188</v>
      </c>
      <c r="F7052">
        <v>5104010104</v>
      </c>
      <c r="G7052" s="13">
        <v>-201695</v>
      </c>
      <c r="I7052" t="s">
        <v>150</v>
      </c>
      <c r="J7052" t="s">
        <v>901</v>
      </c>
      <c r="K7052" t="s">
        <v>69</v>
      </c>
      <c r="L7052">
        <v>8001806296</v>
      </c>
      <c r="N7052" t="s">
        <v>1031</v>
      </c>
    </row>
    <row r="7053" spans="3:14">
      <c r="C7053">
        <v>2100300025</v>
      </c>
      <c r="D7053">
        <v>6426000</v>
      </c>
      <c r="E7053" t="s">
        <v>188</v>
      </c>
      <c r="F7053">
        <v>5104010104</v>
      </c>
      <c r="G7053" s="13">
        <v>201695</v>
      </c>
      <c r="I7053" t="s">
        <v>150</v>
      </c>
      <c r="J7053" t="s">
        <v>901</v>
      </c>
      <c r="K7053" t="s">
        <v>69</v>
      </c>
      <c r="L7053">
        <v>8001806160</v>
      </c>
      <c r="N7053" t="s">
        <v>1031</v>
      </c>
    </row>
    <row r="7054" spans="3:14">
      <c r="C7054">
        <v>2100300025</v>
      </c>
      <c r="D7054">
        <v>6426000</v>
      </c>
      <c r="E7054" t="s">
        <v>188</v>
      </c>
      <c r="F7054">
        <v>5104010104</v>
      </c>
      <c r="G7054" s="13">
        <v>70200</v>
      </c>
      <c r="I7054" t="s">
        <v>150</v>
      </c>
      <c r="J7054" t="s">
        <v>818</v>
      </c>
      <c r="K7054" t="s">
        <v>69</v>
      </c>
      <c r="L7054">
        <v>8001829744</v>
      </c>
      <c r="N7054" t="s">
        <v>1031</v>
      </c>
    </row>
    <row r="7055" spans="3:14">
      <c r="C7055">
        <v>2100300025</v>
      </c>
      <c r="D7055">
        <v>6426000</v>
      </c>
      <c r="E7055" t="s">
        <v>188</v>
      </c>
      <c r="F7055">
        <v>5104010104</v>
      </c>
      <c r="G7055" s="13">
        <v>8540</v>
      </c>
      <c r="I7055" t="s">
        <v>150</v>
      </c>
      <c r="J7055" t="s">
        <v>818</v>
      </c>
      <c r="K7055" t="s">
        <v>69</v>
      </c>
      <c r="L7055">
        <v>8001829750</v>
      </c>
      <c r="N7055" t="s">
        <v>1031</v>
      </c>
    </row>
    <row r="7056" spans="3:14">
      <c r="C7056">
        <v>2100300025</v>
      </c>
      <c r="D7056">
        <v>6426000</v>
      </c>
      <c r="E7056" t="s">
        <v>188</v>
      </c>
      <c r="F7056">
        <v>5104010104</v>
      </c>
      <c r="G7056" s="13">
        <v>44300</v>
      </c>
      <c r="I7056" t="s">
        <v>150</v>
      </c>
      <c r="J7056" t="s">
        <v>871</v>
      </c>
      <c r="K7056" t="s">
        <v>69</v>
      </c>
      <c r="L7056">
        <v>8001824379</v>
      </c>
      <c r="N7056" t="s">
        <v>1031</v>
      </c>
    </row>
    <row r="7057" spans="3:14">
      <c r="C7057">
        <v>2100300025</v>
      </c>
      <c r="D7057">
        <v>6426000</v>
      </c>
      <c r="E7057" t="s">
        <v>188</v>
      </c>
      <c r="F7057">
        <v>5104010104</v>
      </c>
      <c r="G7057" s="13">
        <v>27360</v>
      </c>
      <c r="I7057" t="s">
        <v>150</v>
      </c>
      <c r="J7057" t="s">
        <v>813</v>
      </c>
      <c r="K7057" t="s">
        <v>69</v>
      </c>
      <c r="L7057">
        <v>8001855097</v>
      </c>
      <c r="N7057" t="s">
        <v>1031</v>
      </c>
    </row>
    <row r="7058" spans="3:14">
      <c r="C7058">
        <v>2100300025</v>
      </c>
      <c r="D7058">
        <v>6426000</v>
      </c>
      <c r="E7058" t="s">
        <v>188</v>
      </c>
      <c r="F7058">
        <v>5104010104</v>
      </c>
      <c r="G7058" s="13">
        <v>9800</v>
      </c>
      <c r="I7058" t="s">
        <v>150</v>
      </c>
      <c r="J7058" t="s">
        <v>814</v>
      </c>
      <c r="K7058" t="s">
        <v>69</v>
      </c>
      <c r="L7058">
        <v>8001782851</v>
      </c>
      <c r="N7058" t="s">
        <v>1031</v>
      </c>
    </row>
    <row r="7059" spans="3:14">
      <c r="C7059">
        <v>2100300025</v>
      </c>
      <c r="D7059">
        <v>6426000</v>
      </c>
      <c r="E7059" t="s">
        <v>188</v>
      </c>
      <c r="F7059">
        <v>5104010104</v>
      </c>
      <c r="G7059" s="13">
        <v>11000</v>
      </c>
      <c r="I7059" t="s">
        <v>150</v>
      </c>
      <c r="J7059" t="s">
        <v>900</v>
      </c>
      <c r="K7059" t="s">
        <v>69</v>
      </c>
      <c r="L7059">
        <v>8001782355</v>
      </c>
      <c r="N7059" t="s">
        <v>1031</v>
      </c>
    </row>
    <row r="7060" spans="3:14">
      <c r="C7060">
        <v>2100300025</v>
      </c>
      <c r="D7060">
        <v>6426000</v>
      </c>
      <c r="E7060" t="s">
        <v>188</v>
      </c>
      <c r="F7060">
        <v>5104010104</v>
      </c>
      <c r="G7060" s="13">
        <v>42000</v>
      </c>
      <c r="I7060" t="s">
        <v>150</v>
      </c>
      <c r="J7060" t="s">
        <v>817</v>
      </c>
      <c r="K7060" t="s">
        <v>69</v>
      </c>
      <c r="L7060">
        <v>8001842729</v>
      </c>
      <c r="N7060" t="s">
        <v>1031</v>
      </c>
    </row>
    <row r="7061" spans="3:14">
      <c r="C7061">
        <v>2100300025</v>
      </c>
      <c r="D7061">
        <v>6426000</v>
      </c>
      <c r="E7061" t="s">
        <v>188</v>
      </c>
      <c r="F7061">
        <v>5104010104</v>
      </c>
      <c r="G7061" s="13">
        <v>7800</v>
      </c>
      <c r="I7061" t="s">
        <v>150</v>
      </c>
      <c r="J7061" t="s">
        <v>893</v>
      </c>
      <c r="K7061" t="s">
        <v>69</v>
      </c>
      <c r="L7061">
        <v>8001836684</v>
      </c>
      <c r="N7061" t="s">
        <v>1031</v>
      </c>
    </row>
    <row r="7062" spans="3:14">
      <c r="C7062">
        <v>2100300025</v>
      </c>
      <c r="D7062">
        <v>6426000</v>
      </c>
      <c r="E7062" t="s">
        <v>188</v>
      </c>
      <c r="F7062">
        <v>5104010104</v>
      </c>
      <c r="G7062" s="13">
        <v>9202</v>
      </c>
      <c r="I7062" t="s">
        <v>150</v>
      </c>
      <c r="J7062" t="s">
        <v>871</v>
      </c>
      <c r="K7062" t="s">
        <v>69</v>
      </c>
      <c r="L7062">
        <v>8001836510</v>
      </c>
      <c r="N7062" t="s">
        <v>1031</v>
      </c>
    </row>
    <row r="7063" spans="3:14">
      <c r="C7063">
        <v>2100300025</v>
      </c>
      <c r="D7063">
        <v>6426000</v>
      </c>
      <c r="E7063" t="s">
        <v>188</v>
      </c>
      <c r="F7063">
        <v>5104010104</v>
      </c>
      <c r="G7063" s="13">
        <v>-29600</v>
      </c>
      <c r="I7063" t="s">
        <v>150</v>
      </c>
      <c r="J7063" t="s">
        <v>819</v>
      </c>
      <c r="K7063" t="s">
        <v>69</v>
      </c>
      <c r="L7063">
        <v>8000153213</v>
      </c>
      <c r="N7063" t="s">
        <v>1031</v>
      </c>
    </row>
    <row r="7064" spans="3:14">
      <c r="C7064">
        <v>2100300025</v>
      </c>
      <c r="D7064">
        <v>6426000</v>
      </c>
      <c r="E7064" t="s">
        <v>188</v>
      </c>
      <c r="F7064">
        <v>5104010104</v>
      </c>
      <c r="G7064" s="13">
        <v>-12600</v>
      </c>
      <c r="I7064" t="s">
        <v>150</v>
      </c>
      <c r="J7064" t="s">
        <v>821</v>
      </c>
      <c r="K7064" t="s">
        <v>69</v>
      </c>
      <c r="L7064">
        <v>8000136592</v>
      </c>
      <c r="N7064" t="s">
        <v>1031</v>
      </c>
    </row>
    <row r="7065" spans="3:14">
      <c r="C7065">
        <v>2100300025</v>
      </c>
      <c r="D7065">
        <v>6426000</v>
      </c>
      <c r="E7065" t="s">
        <v>188</v>
      </c>
      <c r="F7065">
        <v>5104010104</v>
      </c>
      <c r="G7065" s="13">
        <v>-20383.5</v>
      </c>
      <c r="I7065" t="s">
        <v>150</v>
      </c>
      <c r="J7065" t="s">
        <v>819</v>
      </c>
      <c r="K7065" t="s">
        <v>69</v>
      </c>
      <c r="L7065">
        <v>8000154133</v>
      </c>
      <c r="N7065" t="s">
        <v>1031</v>
      </c>
    </row>
    <row r="7066" spans="3:14">
      <c r="C7066">
        <v>2100300025</v>
      </c>
      <c r="D7066">
        <v>6426000</v>
      </c>
      <c r="E7066" t="s">
        <v>188</v>
      </c>
      <c r="F7066">
        <v>5104010104</v>
      </c>
      <c r="G7066" s="13">
        <v>185000</v>
      </c>
      <c r="I7066" t="s">
        <v>150</v>
      </c>
      <c r="J7066" t="s">
        <v>905</v>
      </c>
      <c r="K7066" t="s">
        <v>69</v>
      </c>
      <c r="L7066">
        <v>8000064193</v>
      </c>
      <c r="N7066" t="s">
        <v>1031</v>
      </c>
    </row>
    <row r="7067" spans="3:14">
      <c r="C7067">
        <v>2100300025</v>
      </c>
      <c r="D7067">
        <v>6426000</v>
      </c>
      <c r="E7067" t="s">
        <v>188</v>
      </c>
      <c r="F7067">
        <v>5104010104</v>
      </c>
      <c r="G7067" s="13">
        <v>23540</v>
      </c>
      <c r="I7067" t="s">
        <v>150</v>
      </c>
      <c r="J7067" t="s">
        <v>555</v>
      </c>
      <c r="K7067" t="s">
        <v>69</v>
      </c>
      <c r="L7067">
        <v>8000068153</v>
      </c>
      <c r="N7067" t="s">
        <v>1031</v>
      </c>
    </row>
    <row r="7068" spans="3:14">
      <c r="C7068">
        <v>2100300025</v>
      </c>
      <c r="D7068">
        <v>6426000</v>
      </c>
      <c r="E7068" t="s">
        <v>188</v>
      </c>
      <c r="F7068">
        <v>5104010104</v>
      </c>
      <c r="G7068" s="13">
        <v>5300</v>
      </c>
      <c r="I7068" t="s">
        <v>150</v>
      </c>
      <c r="J7068" t="s">
        <v>822</v>
      </c>
      <c r="K7068" t="s">
        <v>69</v>
      </c>
      <c r="L7068">
        <v>8000058255</v>
      </c>
      <c r="N7068" t="s">
        <v>1031</v>
      </c>
    </row>
    <row r="7069" spans="3:14">
      <c r="C7069">
        <v>2100300025</v>
      </c>
      <c r="D7069">
        <v>6426000</v>
      </c>
      <c r="E7069" t="s">
        <v>188</v>
      </c>
      <c r="F7069">
        <v>5104010104</v>
      </c>
      <c r="G7069" s="13">
        <v>30000</v>
      </c>
      <c r="I7069" t="s">
        <v>150</v>
      </c>
      <c r="J7069" t="s">
        <v>906</v>
      </c>
      <c r="K7069" t="s">
        <v>69</v>
      </c>
      <c r="L7069">
        <v>8000062940</v>
      </c>
      <c r="N7069" t="s">
        <v>1031</v>
      </c>
    </row>
    <row r="7070" spans="3:14">
      <c r="C7070">
        <v>2100300025</v>
      </c>
      <c r="D7070">
        <v>6426000</v>
      </c>
      <c r="E7070" t="s">
        <v>188</v>
      </c>
      <c r="F7070">
        <v>5104010104</v>
      </c>
      <c r="G7070" s="13">
        <v>5993</v>
      </c>
      <c r="I7070" t="s">
        <v>150</v>
      </c>
      <c r="J7070" t="s">
        <v>905</v>
      </c>
      <c r="K7070" t="s">
        <v>69</v>
      </c>
      <c r="L7070">
        <v>8000107106</v>
      </c>
      <c r="N7070" t="s">
        <v>1426</v>
      </c>
    </row>
    <row r="7071" spans="3:14">
      <c r="C7071">
        <v>2100300025</v>
      </c>
      <c r="D7071">
        <v>6426000</v>
      </c>
      <c r="E7071" t="s">
        <v>188</v>
      </c>
      <c r="F7071">
        <v>5104010104</v>
      </c>
      <c r="G7071" s="13">
        <v>29600</v>
      </c>
      <c r="I7071" t="s">
        <v>150</v>
      </c>
      <c r="J7071" t="s">
        <v>819</v>
      </c>
      <c r="K7071" t="s">
        <v>69</v>
      </c>
      <c r="L7071">
        <v>8000143114</v>
      </c>
      <c r="N7071" t="s">
        <v>1031</v>
      </c>
    </row>
    <row r="7072" spans="3:14">
      <c r="C7072">
        <v>2100300025</v>
      </c>
      <c r="D7072">
        <v>6426000</v>
      </c>
      <c r="E7072" t="s">
        <v>188</v>
      </c>
      <c r="F7072">
        <v>5104010104</v>
      </c>
      <c r="G7072" s="13">
        <v>36000</v>
      </c>
      <c r="I7072" t="s">
        <v>150</v>
      </c>
      <c r="J7072" t="s">
        <v>903</v>
      </c>
      <c r="K7072" t="s">
        <v>69</v>
      </c>
      <c r="L7072">
        <v>8000096370</v>
      </c>
      <c r="N7072" t="s">
        <v>1031</v>
      </c>
    </row>
    <row r="7073" spans="3:14">
      <c r="C7073">
        <v>2100300025</v>
      </c>
      <c r="D7073">
        <v>6426000</v>
      </c>
      <c r="E7073" t="s">
        <v>188</v>
      </c>
      <c r="F7073">
        <v>5104010104</v>
      </c>
      <c r="G7073" s="13">
        <v>41690</v>
      </c>
      <c r="I7073" t="s">
        <v>150</v>
      </c>
      <c r="J7073" t="s">
        <v>820</v>
      </c>
      <c r="K7073" t="s">
        <v>69</v>
      </c>
      <c r="L7073">
        <v>8000137932</v>
      </c>
      <c r="N7073" t="s">
        <v>1031</v>
      </c>
    </row>
    <row r="7074" spans="3:14">
      <c r="C7074">
        <v>2100300025</v>
      </c>
      <c r="D7074">
        <v>6426000</v>
      </c>
      <c r="E7074" t="s">
        <v>188</v>
      </c>
      <c r="F7074">
        <v>5104010104</v>
      </c>
      <c r="G7074" s="13">
        <v>5678</v>
      </c>
      <c r="I7074" t="s">
        <v>150</v>
      </c>
      <c r="J7074" t="s">
        <v>822</v>
      </c>
      <c r="K7074" t="s">
        <v>69</v>
      </c>
      <c r="L7074">
        <v>8000049758</v>
      </c>
      <c r="N7074" t="s">
        <v>1031</v>
      </c>
    </row>
    <row r="7075" spans="3:14">
      <c r="C7075">
        <v>2100300025</v>
      </c>
      <c r="D7075">
        <v>6426000</v>
      </c>
      <c r="E7075" t="s">
        <v>188</v>
      </c>
      <c r="F7075">
        <v>5104010104</v>
      </c>
      <c r="G7075" s="13">
        <v>-30650</v>
      </c>
      <c r="I7075" t="s">
        <v>150</v>
      </c>
      <c r="J7075" t="s">
        <v>915</v>
      </c>
      <c r="K7075" t="s">
        <v>69</v>
      </c>
      <c r="L7075">
        <v>8000239552</v>
      </c>
      <c r="N7075" t="s">
        <v>1031</v>
      </c>
    </row>
    <row r="7076" spans="3:14">
      <c r="C7076">
        <v>2100300025</v>
      </c>
      <c r="D7076">
        <v>6426000</v>
      </c>
      <c r="E7076" t="s">
        <v>188</v>
      </c>
      <c r="F7076">
        <v>5104010104</v>
      </c>
      <c r="G7076" s="13">
        <v>13250.88</v>
      </c>
      <c r="I7076" t="s">
        <v>150</v>
      </c>
      <c r="J7076" t="s">
        <v>916</v>
      </c>
      <c r="K7076" t="s">
        <v>69</v>
      </c>
      <c r="L7076">
        <v>8000186718</v>
      </c>
      <c r="N7076" t="s">
        <v>1031</v>
      </c>
    </row>
    <row r="7077" spans="3:14">
      <c r="C7077">
        <v>2100300025</v>
      </c>
      <c r="D7077">
        <v>6426000</v>
      </c>
      <c r="E7077" t="s">
        <v>188</v>
      </c>
      <c r="F7077">
        <v>5104010104</v>
      </c>
      <c r="G7077" s="13">
        <v>64628</v>
      </c>
      <c r="I7077" t="s">
        <v>150</v>
      </c>
      <c r="J7077" t="s">
        <v>1185</v>
      </c>
      <c r="K7077" t="s">
        <v>69</v>
      </c>
      <c r="L7077">
        <v>8000275340</v>
      </c>
      <c r="N7077" t="s">
        <v>1031</v>
      </c>
    </row>
    <row r="7078" spans="3:14">
      <c r="C7078">
        <v>2100300025</v>
      </c>
      <c r="D7078">
        <v>6426000</v>
      </c>
      <c r="E7078" t="s">
        <v>188</v>
      </c>
      <c r="F7078">
        <v>5104010104</v>
      </c>
      <c r="G7078" s="13">
        <v>50000</v>
      </c>
      <c r="I7078" t="s">
        <v>150</v>
      </c>
      <c r="J7078" t="s">
        <v>914</v>
      </c>
      <c r="K7078" t="s">
        <v>69</v>
      </c>
      <c r="L7078">
        <v>8000241333</v>
      </c>
      <c r="N7078" t="s">
        <v>1031</v>
      </c>
    </row>
    <row r="7079" spans="3:14">
      <c r="C7079">
        <v>2100300025</v>
      </c>
      <c r="D7079">
        <v>6426000</v>
      </c>
      <c r="E7079" t="s">
        <v>188</v>
      </c>
      <c r="F7079">
        <v>5104010104</v>
      </c>
      <c r="G7079" s="13">
        <v>3360</v>
      </c>
      <c r="I7079" t="s">
        <v>150</v>
      </c>
      <c r="J7079" t="s">
        <v>919</v>
      </c>
      <c r="K7079" t="s">
        <v>69</v>
      </c>
      <c r="L7079">
        <v>8000198896</v>
      </c>
      <c r="N7079" t="s">
        <v>1031</v>
      </c>
    </row>
    <row r="7080" spans="3:14">
      <c r="C7080">
        <v>2100300025</v>
      </c>
      <c r="D7080">
        <v>6426000</v>
      </c>
      <c r="E7080" t="s">
        <v>188</v>
      </c>
      <c r="F7080">
        <v>5104010104</v>
      </c>
      <c r="G7080" s="13">
        <v>284600</v>
      </c>
      <c r="I7080" t="s">
        <v>150</v>
      </c>
      <c r="J7080" t="s">
        <v>826</v>
      </c>
      <c r="K7080" t="s">
        <v>69</v>
      </c>
      <c r="L7080">
        <v>8000198927</v>
      </c>
      <c r="N7080" t="s">
        <v>1031</v>
      </c>
    </row>
    <row r="7081" spans="3:14">
      <c r="C7081">
        <v>2100300025</v>
      </c>
      <c r="D7081">
        <v>6426000</v>
      </c>
      <c r="E7081" t="s">
        <v>188</v>
      </c>
      <c r="F7081">
        <v>5104010104</v>
      </c>
      <c r="G7081" s="13">
        <v>-32240</v>
      </c>
      <c r="I7081" t="s">
        <v>150</v>
      </c>
      <c r="J7081" t="s">
        <v>925</v>
      </c>
      <c r="K7081" t="s">
        <v>69</v>
      </c>
      <c r="L7081">
        <v>8000514411</v>
      </c>
      <c r="N7081" t="s">
        <v>1031</v>
      </c>
    </row>
    <row r="7082" spans="3:14">
      <c r="C7082">
        <v>2100300025</v>
      </c>
      <c r="D7082">
        <v>6426000</v>
      </c>
      <c r="E7082" t="s">
        <v>188</v>
      </c>
      <c r="F7082">
        <v>5104010104</v>
      </c>
      <c r="G7082" s="13">
        <v>-128400</v>
      </c>
      <c r="I7082" t="s">
        <v>150</v>
      </c>
      <c r="J7082" t="s">
        <v>829</v>
      </c>
      <c r="K7082" t="s">
        <v>69</v>
      </c>
      <c r="L7082">
        <v>8000393691</v>
      </c>
      <c r="N7082" t="s">
        <v>1031</v>
      </c>
    </row>
    <row r="7083" spans="3:14">
      <c r="C7083">
        <v>2100300025</v>
      </c>
      <c r="D7083">
        <v>6426000</v>
      </c>
      <c r="E7083" t="s">
        <v>188</v>
      </c>
      <c r="F7083">
        <v>5104010104</v>
      </c>
      <c r="G7083" s="13">
        <v>-25500</v>
      </c>
      <c r="I7083" t="s">
        <v>150</v>
      </c>
      <c r="J7083" t="s">
        <v>801</v>
      </c>
      <c r="K7083" t="s">
        <v>69</v>
      </c>
      <c r="L7083">
        <v>8000389758</v>
      </c>
      <c r="N7083" t="s">
        <v>1031</v>
      </c>
    </row>
    <row r="7084" spans="3:14">
      <c r="C7084">
        <v>2100300025</v>
      </c>
      <c r="D7084">
        <v>6426000</v>
      </c>
      <c r="E7084" t="s">
        <v>188</v>
      </c>
      <c r="F7084">
        <v>5104010104</v>
      </c>
      <c r="G7084" s="13">
        <v>128400</v>
      </c>
      <c r="I7084" t="s">
        <v>150</v>
      </c>
      <c r="J7084" t="s">
        <v>829</v>
      </c>
      <c r="K7084" t="s">
        <v>69</v>
      </c>
      <c r="L7084">
        <v>8000380361</v>
      </c>
      <c r="N7084" t="s">
        <v>1031</v>
      </c>
    </row>
    <row r="7085" spans="3:14">
      <c r="C7085">
        <v>2100300025</v>
      </c>
      <c r="D7085">
        <v>6426000</v>
      </c>
      <c r="E7085" t="s">
        <v>188</v>
      </c>
      <c r="F7085">
        <v>5104010104</v>
      </c>
      <c r="G7085" s="13">
        <v>-45932.959999999999</v>
      </c>
      <c r="I7085" t="s">
        <v>150</v>
      </c>
      <c r="J7085" t="s">
        <v>819</v>
      </c>
      <c r="K7085" t="s">
        <v>69</v>
      </c>
      <c r="L7085">
        <v>8000155939</v>
      </c>
      <c r="N7085" t="s">
        <v>1031</v>
      </c>
    </row>
    <row r="7086" spans="3:14">
      <c r="C7086">
        <v>2100300025</v>
      </c>
      <c r="D7086">
        <v>6426000</v>
      </c>
      <c r="E7086" t="s">
        <v>188</v>
      </c>
      <c r="F7086">
        <v>5104010104</v>
      </c>
      <c r="G7086" s="13">
        <v>114000</v>
      </c>
      <c r="I7086" t="s">
        <v>150</v>
      </c>
      <c r="J7086" t="s">
        <v>896</v>
      </c>
      <c r="K7086" t="s">
        <v>69</v>
      </c>
      <c r="L7086">
        <v>8001795430</v>
      </c>
      <c r="N7086" t="s">
        <v>1031</v>
      </c>
    </row>
    <row r="7087" spans="3:14">
      <c r="C7087">
        <v>2100300025</v>
      </c>
      <c r="D7087">
        <v>6426000</v>
      </c>
      <c r="E7087" t="s">
        <v>188</v>
      </c>
      <c r="F7087">
        <v>5104010104</v>
      </c>
      <c r="G7087" s="13">
        <v>18725</v>
      </c>
      <c r="I7087" t="s">
        <v>150</v>
      </c>
      <c r="J7087" t="s">
        <v>893</v>
      </c>
      <c r="K7087" t="s">
        <v>69</v>
      </c>
      <c r="L7087">
        <v>8001796264</v>
      </c>
      <c r="N7087" t="s">
        <v>1031</v>
      </c>
    </row>
    <row r="7088" spans="3:14">
      <c r="C7088">
        <v>2100300025</v>
      </c>
      <c r="D7088">
        <v>6426000</v>
      </c>
      <c r="E7088" t="s">
        <v>188</v>
      </c>
      <c r="F7088">
        <v>5104010104</v>
      </c>
      <c r="G7088" s="13">
        <v>7000</v>
      </c>
      <c r="I7088" t="s">
        <v>150</v>
      </c>
      <c r="J7088" t="s">
        <v>871</v>
      </c>
      <c r="K7088" t="s">
        <v>69</v>
      </c>
      <c r="L7088">
        <v>8001852419</v>
      </c>
      <c r="N7088" t="s">
        <v>1031</v>
      </c>
    </row>
    <row r="7089" spans="3:14">
      <c r="C7089">
        <v>2100300025</v>
      </c>
      <c r="D7089">
        <v>6426000</v>
      </c>
      <c r="E7089" t="s">
        <v>188</v>
      </c>
      <c r="F7089">
        <v>5104010104</v>
      </c>
      <c r="G7089" s="13">
        <v>-25900</v>
      </c>
      <c r="I7089" t="s">
        <v>150</v>
      </c>
      <c r="J7089" t="s">
        <v>908</v>
      </c>
      <c r="K7089" t="s">
        <v>69</v>
      </c>
      <c r="L7089">
        <v>8000155934</v>
      </c>
      <c r="N7089" t="s">
        <v>1031</v>
      </c>
    </row>
    <row r="7090" spans="3:14">
      <c r="C7090">
        <v>2100300025</v>
      </c>
      <c r="D7090">
        <v>6426000</v>
      </c>
      <c r="E7090" t="s">
        <v>188</v>
      </c>
      <c r="F7090">
        <v>5104010104</v>
      </c>
      <c r="G7090" s="13">
        <v>-10272</v>
      </c>
      <c r="I7090" t="s">
        <v>150</v>
      </c>
      <c r="J7090" t="s">
        <v>821</v>
      </c>
      <c r="K7090" t="s">
        <v>69</v>
      </c>
      <c r="L7090">
        <v>8000154887</v>
      </c>
      <c r="N7090" t="s">
        <v>1031</v>
      </c>
    </row>
    <row r="7091" spans="3:14">
      <c r="C7091">
        <v>2100300025</v>
      </c>
      <c r="D7091">
        <v>6426000</v>
      </c>
      <c r="E7091" t="s">
        <v>188</v>
      </c>
      <c r="F7091">
        <v>5104010104</v>
      </c>
      <c r="G7091" s="13">
        <v>27300</v>
      </c>
      <c r="I7091" t="s">
        <v>150</v>
      </c>
      <c r="J7091" t="s">
        <v>903</v>
      </c>
      <c r="K7091" t="s">
        <v>69</v>
      </c>
      <c r="L7091">
        <v>8000032068</v>
      </c>
      <c r="N7091" t="s">
        <v>1031</v>
      </c>
    </row>
    <row r="7092" spans="3:14">
      <c r="C7092">
        <v>2100300025</v>
      </c>
      <c r="D7092">
        <v>6426000</v>
      </c>
      <c r="E7092" t="s">
        <v>188</v>
      </c>
      <c r="F7092">
        <v>5104010104</v>
      </c>
      <c r="G7092" s="13">
        <v>30000</v>
      </c>
      <c r="I7092" t="s">
        <v>150</v>
      </c>
      <c r="J7092" t="s">
        <v>906</v>
      </c>
      <c r="K7092" t="s">
        <v>69</v>
      </c>
      <c r="L7092">
        <v>8000027180</v>
      </c>
      <c r="N7092" t="s">
        <v>1031</v>
      </c>
    </row>
    <row r="7093" spans="3:14">
      <c r="C7093">
        <v>2100300025</v>
      </c>
      <c r="D7093">
        <v>6426000</v>
      </c>
      <c r="E7093" t="s">
        <v>188</v>
      </c>
      <c r="F7093">
        <v>5104010104</v>
      </c>
      <c r="G7093" s="13">
        <v>5993</v>
      </c>
      <c r="I7093" t="s">
        <v>150</v>
      </c>
      <c r="J7093" t="s">
        <v>555</v>
      </c>
      <c r="K7093" t="s">
        <v>69</v>
      </c>
      <c r="L7093">
        <v>8000066909</v>
      </c>
      <c r="N7093" t="s">
        <v>1426</v>
      </c>
    </row>
    <row r="7094" spans="3:14">
      <c r="C7094">
        <v>2100300025</v>
      </c>
      <c r="D7094">
        <v>6426000</v>
      </c>
      <c r="E7094" t="s">
        <v>188</v>
      </c>
      <c r="F7094">
        <v>5104010104</v>
      </c>
      <c r="G7094" s="13">
        <v>16270</v>
      </c>
      <c r="I7094" t="s">
        <v>150</v>
      </c>
      <c r="J7094" t="s">
        <v>555</v>
      </c>
      <c r="K7094" t="s">
        <v>69</v>
      </c>
      <c r="L7094">
        <v>8000066997</v>
      </c>
      <c r="N7094" t="s">
        <v>1431</v>
      </c>
    </row>
    <row r="7095" spans="3:14">
      <c r="C7095">
        <v>2100300025</v>
      </c>
      <c r="D7095">
        <v>6426000</v>
      </c>
      <c r="E7095" t="s">
        <v>188</v>
      </c>
      <c r="F7095">
        <v>5104010104</v>
      </c>
      <c r="G7095" s="13">
        <v>6045</v>
      </c>
      <c r="I7095" t="s">
        <v>150</v>
      </c>
      <c r="J7095" t="s">
        <v>912</v>
      </c>
      <c r="K7095" t="s">
        <v>69</v>
      </c>
      <c r="L7095">
        <v>8000110660</v>
      </c>
      <c r="N7095" t="s">
        <v>1031</v>
      </c>
    </row>
    <row r="7096" spans="3:14">
      <c r="C7096">
        <v>2100300025</v>
      </c>
      <c r="D7096">
        <v>6426000</v>
      </c>
      <c r="E7096" t="s">
        <v>188</v>
      </c>
      <c r="F7096">
        <v>5104010104</v>
      </c>
      <c r="G7096" s="13">
        <v>28890</v>
      </c>
      <c r="I7096" t="s">
        <v>150</v>
      </c>
      <c r="J7096" t="s">
        <v>905</v>
      </c>
      <c r="K7096" t="s">
        <v>69</v>
      </c>
      <c r="L7096">
        <v>8000059231</v>
      </c>
      <c r="N7096" t="s">
        <v>1432</v>
      </c>
    </row>
    <row r="7097" spans="3:14">
      <c r="C7097">
        <v>2100300025</v>
      </c>
      <c r="D7097">
        <v>6426000</v>
      </c>
      <c r="E7097" t="s">
        <v>188</v>
      </c>
      <c r="F7097">
        <v>5104010104</v>
      </c>
      <c r="G7097" s="13">
        <v>20383.5</v>
      </c>
      <c r="I7097" t="s">
        <v>150</v>
      </c>
      <c r="J7097" t="s">
        <v>819</v>
      </c>
      <c r="K7097" t="s">
        <v>69</v>
      </c>
      <c r="L7097">
        <v>8000133354</v>
      </c>
      <c r="N7097" t="s">
        <v>1031</v>
      </c>
    </row>
    <row r="7098" spans="3:14">
      <c r="C7098">
        <v>2100300025</v>
      </c>
      <c r="D7098">
        <v>6426000</v>
      </c>
      <c r="E7098" t="s">
        <v>188</v>
      </c>
      <c r="F7098">
        <v>5104010104</v>
      </c>
      <c r="G7098" s="13">
        <v>10272</v>
      </c>
      <c r="I7098" t="s">
        <v>150</v>
      </c>
      <c r="J7098" t="s">
        <v>821</v>
      </c>
      <c r="K7098" t="s">
        <v>69</v>
      </c>
      <c r="L7098">
        <v>8000143250</v>
      </c>
      <c r="N7098" t="s">
        <v>1031</v>
      </c>
    </row>
    <row r="7099" spans="3:14">
      <c r="C7099">
        <v>2100300025</v>
      </c>
      <c r="D7099">
        <v>6426000</v>
      </c>
      <c r="E7099" t="s">
        <v>188</v>
      </c>
      <c r="F7099">
        <v>5104010104</v>
      </c>
      <c r="G7099" s="13">
        <v>25900</v>
      </c>
      <c r="I7099" t="s">
        <v>150</v>
      </c>
      <c r="J7099" t="s">
        <v>908</v>
      </c>
      <c r="K7099" t="s">
        <v>69</v>
      </c>
      <c r="L7099">
        <v>8000141924</v>
      </c>
      <c r="N7099" t="s">
        <v>1031</v>
      </c>
    </row>
    <row r="7100" spans="3:14">
      <c r="C7100">
        <v>2100300025</v>
      </c>
      <c r="D7100">
        <v>6426000</v>
      </c>
      <c r="E7100" t="s">
        <v>188</v>
      </c>
      <c r="F7100">
        <v>5104010104</v>
      </c>
      <c r="G7100" s="13">
        <v>45932.959999999999</v>
      </c>
      <c r="I7100" t="s">
        <v>150</v>
      </c>
      <c r="J7100" t="s">
        <v>819</v>
      </c>
      <c r="K7100" t="s">
        <v>69</v>
      </c>
      <c r="L7100">
        <v>8000143824</v>
      </c>
      <c r="N7100" t="s">
        <v>1031</v>
      </c>
    </row>
    <row r="7101" spans="3:14">
      <c r="C7101">
        <v>2100300025</v>
      </c>
      <c r="D7101">
        <v>6426000</v>
      </c>
      <c r="E7101" t="s">
        <v>188</v>
      </c>
      <c r="F7101">
        <v>5104010104</v>
      </c>
      <c r="G7101" s="13">
        <v>20400</v>
      </c>
      <c r="I7101" t="s">
        <v>150</v>
      </c>
      <c r="J7101" t="s">
        <v>819</v>
      </c>
      <c r="K7101" t="s">
        <v>69</v>
      </c>
      <c r="L7101">
        <v>8000144322</v>
      </c>
      <c r="N7101" t="s">
        <v>1031</v>
      </c>
    </row>
    <row r="7102" spans="3:14">
      <c r="C7102">
        <v>2100300025</v>
      </c>
      <c r="D7102">
        <v>6426000</v>
      </c>
      <c r="E7102" t="s">
        <v>188</v>
      </c>
      <c r="F7102">
        <v>5104010104</v>
      </c>
      <c r="G7102" s="13">
        <v>53180</v>
      </c>
      <c r="I7102" t="s">
        <v>150</v>
      </c>
      <c r="J7102" t="s">
        <v>567</v>
      </c>
      <c r="K7102" t="s">
        <v>69</v>
      </c>
      <c r="L7102">
        <v>8000187764</v>
      </c>
      <c r="N7102" t="s">
        <v>1031</v>
      </c>
    </row>
    <row r="7103" spans="3:14">
      <c r="C7103">
        <v>2100300025</v>
      </c>
      <c r="D7103">
        <v>6426000</v>
      </c>
      <c r="E7103" t="s">
        <v>188</v>
      </c>
      <c r="F7103">
        <v>5104010104</v>
      </c>
      <c r="G7103" s="13">
        <v>28440</v>
      </c>
      <c r="I7103" t="s">
        <v>150</v>
      </c>
      <c r="J7103" t="s">
        <v>912</v>
      </c>
      <c r="K7103" t="s">
        <v>69</v>
      </c>
      <c r="L7103">
        <v>8000141483</v>
      </c>
      <c r="N7103" t="s">
        <v>1031</v>
      </c>
    </row>
    <row r="7104" spans="3:14">
      <c r="C7104">
        <v>2100300025</v>
      </c>
      <c r="D7104">
        <v>6426000</v>
      </c>
      <c r="E7104" t="s">
        <v>188</v>
      </c>
      <c r="F7104">
        <v>5104010104</v>
      </c>
      <c r="G7104" s="13">
        <v>166920</v>
      </c>
      <c r="I7104" t="s">
        <v>150</v>
      </c>
      <c r="J7104" t="s">
        <v>908</v>
      </c>
      <c r="K7104" t="s">
        <v>69</v>
      </c>
      <c r="L7104">
        <v>8000096362</v>
      </c>
      <c r="N7104" t="s">
        <v>1031</v>
      </c>
    </row>
    <row r="7105" spans="3:14">
      <c r="C7105">
        <v>2100300025</v>
      </c>
      <c r="D7105">
        <v>6426000</v>
      </c>
      <c r="E7105" t="s">
        <v>188</v>
      </c>
      <c r="F7105">
        <v>5104010104</v>
      </c>
      <c r="G7105" s="13">
        <v>31500</v>
      </c>
      <c r="I7105" t="s">
        <v>150</v>
      </c>
      <c r="J7105" t="s">
        <v>820</v>
      </c>
      <c r="K7105" t="s">
        <v>69</v>
      </c>
      <c r="L7105">
        <v>8000137366</v>
      </c>
      <c r="N7105" t="s">
        <v>1031</v>
      </c>
    </row>
    <row r="7106" spans="3:14">
      <c r="C7106">
        <v>2100300025</v>
      </c>
      <c r="D7106">
        <v>6426000</v>
      </c>
      <c r="E7106" t="s">
        <v>188</v>
      </c>
      <c r="F7106">
        <v>5104010104</v>
      </c>
      <c r="G7106" s="13">
        <v>34440</v>
      </c>
      <c r="I7106" t="s">
        <v>150</v>
      </c>
      <c r="J7106" t="s">
        <v>821</v>
      </c>
      <c r="K7106" t="s">
        <v>69</v>
      </c>
      <c r="L7106">
        <v>8000122760</v>
      </c>
      <c r="N7106" t="s">
        <v>1031</v>
      </c>
    </row>
    <row r="7107" spans="3:14">
      <c r="C7107">
        <v>2100300025</v>
      </c>
      <c r="D7107">
        <v>6426000</v>
      </c>
      <c r="E7107" t="s">
        <v>188</v>
      </c>
      <c r="F7107">
        <v>5104010104</v>
      </c>
      <c r="G7107" s="13">
        <v>7817</v>
      </c>
      <c r="I7107" t="s">
        <v>150</v>
      </c>
      <c r="J7107" t="s">
        <v>902</v>
      </c>
      <c r="K7107" t="s">
        <v>69</v>
      </c>
      <c r="L7107">
        <v>8000033722</v>
      </c>
      <c r="N7107" t="s">
        <v>1433</v>
      </c>
    </row>
    <row r="7108" spans="3:14">
      <c r="C7108">
        <v>2100300025</v>
      </c>
      <c r="D7108">
        <v>6426000</v>
      </c>
      <c r="E7108" t="s">
        <v>188</v>
      </c>
      <c r="F7108">
        <v>5104010104</v>
      </c>
      <c r="G7108" s="13">
        <v>6403</v>
      </c>
      <c r="I7108" t="s">
        <v>150</v>
      </c>
      <c r="J7108" t="s">
        <v>904</v>
      </c>
      <c r="K7108" t="s">
        <v>69</v>
      </c>
      <c r="L7108">
        <v>8000033901</v>
      </c>
      <c r="N7108" t="s">
        <v>1434</v>
      </c>
    </row>
    <row r="7109" spans="3:14">
      <c r="C7109">
        <v>2100300025</v>
      </c>
      <c r="D7109">
        <v>6426000</v>
      </c>
      <c r="E7109" t="s">
        <v>188</v>
      </c>
      <c r="F7109">
        <v>5104010104</v>
      </c>
      <c r="G7109" s="13">
        <v>18725</v>
      </c>
      <c r="I7109" t="s">
        <v>150</v>
      </c>
      <c r="J7109" t="s">
        <v>912</v>
      </c>
      <c r="K7109" t="s">
        <v>69</v>
      </c>
      <c r="L7109">
        <v>8000112407</v>
      </c>
      <c r="N7109" t="s">
        <v>1031</v>
      </c>
    </row>
    <row r="7110" spans="3:14">
      <c r="C7110">
        <v>2100300025</v>
      </c>
      <c r="D7110">
        <v>6426000</v>
      </c>
      <c r="E7110" t="s">
        <v>188</v>
      </c>
      <c r="F7110">
        <v>5104010104</v>
      </c>
      <c r="G7110" s="13">
        <v>-138000</v>
      </c>
      <c r="I7110" t="s">
        <v>150</v>
      </c>
      <c r="J7110" t="s">
        <v>918</v>
      </c>
      <c r="K7110" t="s">
        <v>69</v>
      </c>
      <c r="L7110">
        <v>8000283696</v>
      </c>
      <c r="N7110" t="s">
        <v>1031</v>
      </c>
    </row>
    <row r="7111" spans="3:14">
      <c r="C7111">
        <v>2100300025</v>
      </c>
      <c r="D7111">
        <v>6426000</v>
      </c>
      <c r="E7111" t="s">
        <v>188</v>
      </c>
      <c r="F7111">
        <v>5104010104</v>
      </c>
      <c r="G7111" s="13">
        <v>-50000</v>
      </c>
      <c r="I7111" t="s">
        <v>150</v>
      </c>
      <c r="J7111" t="s">
        <v>914</v>
      </c>
      <c r="K7111" t="s">
        <v>69</v>
      </c>
      <c r="L7111">
        <v>8000283578</v>
      </c>
      <c r="N7111" t="s">
        <v>1031</v>
      </c>
    </row>
    <row r="7112" spans="3:14">
      <c r="C7112">
        <v>2100300025</v>
      </c>
      <c r="D7112">
        <v>6426000</v>
      </c>
      <c r="E7112" t="s">
        <v>188</v>
      </c>
      <c r="F7112">
        <v>5104010104</v>
      </c>
      <c r="G7112" s="13">
        <v>50000</v>
      </c>
      <c r="I7112" t="s">
        <v>150</v>
      </c>
      <c r="J7112" t="s">
        <v>914</v>
      </c>
      <c r="K7112" t="s">
        <v>69</v>
      </c>
      <c r="L7112">
        <v>8000283580</v>
      </c>
      <c r="N7112" t="s">
        <v>1031</v>
      </c>
    </row>
    <row r="7113" spans="3:14">
      <c r="C7113">
        <v>2100300025</v>
      </c>
      <c r="D7113">
        <v>6426000</v>
      </c>
      <c r="E7113" t="s">
        <v>188</v>
      </c>
      <c r="F7113">
        <v>5104010104</v>
      </c>
      <c r="G7113" s="13">
        <v>-50000</v>
      </c>
      <c r="I7113" t="s">
        <v>150</v>
      </c>
      <c r="J7113" t="s">
        <v>917</v>
      </c>
      <c r="K7113" t="s">
        <v>69</v>
      </c>
      <c r="L7113">
        <v>8000320982</v>
      </c>
      <c r="N7113" t="s">
        <v>1031</v>
      </c>
    </row>
    <row r="7114" spans="3:14">
      <c r="C7114">
        <v>2100300025</v>
      </c>
      <c r="D7114">
        <v>6426000</v>
      </c>
      <c r="E7114" t="s">
        <v>188</v>
      </c>
      <c r="F7114">
        <v>5104010104</v>
      </c>
      <c r="G7114" s="13">
        <v>50000</v>
      </c>
      <c r="I7114" t="s">
        <v>150</v>
      </c>
      <c r="J7114" t="s">
        <v>914</v>
      </c>
      <c r="K7114" t="s">
        <v>69</v>
      </c>
      <c r="L7114">
        <v>8000321431</v>
      </c>
      <c r="N7114" t="s">
        <v>1031</v>
      </c>
    </row>
    <row r="7115" spans="3:14">
      <c r="C7115">
        <v>2100300025</v>
      </c>
      <c r="D7115">
        <v>6426000</v>
      </c>
      <c r="E7115" t="s">
        <v>188</v>
      </c>
      <c r="F7115">
        <v>5104010104</v>
      </c>
      <c r="G7115" s="13">
        <v>-50000</v>
      </c>
      <c r="I7115" t="s">
        <v>150</v>
      </c>
      <c r="J7115" t="s">
        <v>914</v>
      </c>
      <c r="K7115" t="s">
        <v>69</v>
      </c>
      <c r="L7115">
        <v>8000314866</v>
      </c>
      <c r="N7115" t="s">
        <v>1031</v>
      </c>
    </row>
    <row r="7116" spans="3:14">
      <c r="C7116">
        <v>2100300025</v>
      </c>
      <c r="D7116">
        <v>6426000</v>
      </c>
      <c r="E7116" t="s">
        <v>188</v>
      </c>
      <c r="F7116">
        <v>5104010104</v>
      </c>
      <c r="G7116" s="13">
        <v>-50000</v>
      </c>
      <c r="I7116" t="s">
        <v>150</v>
      </c>
      <c r="J7116" t="s">
        <v>917</v>
      </c>
      <c r="K7116" t="s">
        <v>69</v>
      </c>
      <c r="L7116">
        <v>8000314868</v>
      </c>
      <c r="N7116" t="s">
        <v>1031</v>
      </c>
    </row>
    <row r="7117" spans="3:14">
      <c r="C7117">
        <v>2100300025</v>
      </c>
      <c r="D7117">
        <v>6426000</v>
      </c>
      <c r="E7117" t="s">
        <v>188</v>
      </c>
      <c r="F7117">
        <v>5104010104</v>
      </c>
      <c r="G7117" s="13">
        <v>50000</v>
      </c>
      <c r="I7117" t="s">
        <v>150</v>
      </c>
      <c r="J7117" t="s">
        <v>917</v>
      </c>
      <c r="K7117" t="s">
        <v>69</v>
      </c>
      <c r="L7117">
        <v>8000314869</v>
      </c>
      <c r="N7117" t="s">
        <v>1031</v>
      </c>
    </row>
    <row r="7118" spans="3:14">
      <c r="C7118">
        <v>2100300025</v>
      </c>
      <c r="D7118">
        <v>6426000</v>
      </c>
      <c r="E7118" t="s">
        <v>188</v>
      </c>
      <c r="F7118">
        <v>5104010104</v>
      </c>
      <c r="G7118" s="13">
        <v>13500</v>
      </c>
      <c r="I7118" t="s">
        <v>150</v>
      </c>
      <c r="J7118" t="s">
        <v>916</v>
      </c>
      <c r="K7118" t="s">
        <v>69</v>
      </c>
      <c r="L7118">
        <v>8000177873</v>
      </c>
      <c r="N7118" t="s">
        <v>1031</v>
      </c>
    </row>
    <row r="7119" spans="3:14">
      <c r="C7119">
        <v>2100300025</v>
      </c>
      <c r="D7119">
        <v>6426000</v>
      </c>
      <c r="E7119" t="s">
        <v>188</v>
      </c>
      <c r="F7119">
        <v>5104010104</v>
      </c>
      <c r="G7119" s="13">
        <v>138000</v>
      </c>
      <c r="I7119" t="s">
        <v>150</v>
      </c>
      <c r="J7119" t="s">
        <v>918</v>
      </c>
      <c r="K7119" t="s">
        <v>69</v>
      </c>
      <c r="L7119">
        <v>8000251928</v>
      </c>
      <c r="N7119" t="s">
        <v>1031</v>
      </c>
    </row>
    <row r="7120" spans="3:14">
      <c r="C7120">
        <v>2100300025</v>
      </c>
      <c r="D7120">
        <v>6426000</v>
      </c>
      <c r="E7120" t="s">
        <v>188</v>
      </c>
      <c r="F7120">
        <v>5104010104</v>
      </c>
      <c r="G7120" s="13">
        <v>6750</v>
      </c>
      <c r="I7120" t="s">
        <v>150</v>
      </c>
      <c r="J7120" t="s">
        <v>918</v>
      </c>
      <c r="K7120" t="s">
        <v>69</v>
      </c>
      <c r="L7120">
        <v>8000251930</v>
      </c>
      <c r="N7120" t="s">
        <v>1031</v>
      </c>
    </row>
    <row r="7121" spans="3:14">
      <c r="C7121">
        <v>2100300025</v>
      </c>
      <c r="D7121">
        <v>6426000</v>
      </c>
      <c r="E7121" t="s">
        <v>188</v>
      </c>
      <c r="F7121">
        <v>5104010104</v>
      </c>
      <c r="G7121" s="13">
        <v>6955</v>
      </c>
      <c r="I7121" t="s">
        <v>150</v>
      </c>
      <c r="J7121" t="s">
        <v>823</v>
      </c>
      <c r="K7121" t="s">
        <v>69</v>
      </c>
      <c r="L7121">
        <v>8000174363</v>
      </c>
      <c r="N7121" t="s">
        <v>1031</v>
      </c>
    </row>
    <row r="7122" spans="3:14">
      <c r="C7122">
        <v>2100300025</v>
      </c>
      <c r="D7122">
        <v>6426000</v>
      </c>
      <c r="E7122" t="s">
        <v>188</v>
      </c>
      <c r="F7122">
        <v>5104010104</v>
      </c>
      <c r="G7122" s="13">
        <v>81000</v>
      </c>
      <c r="I7122" t="s">
        <v>150</v>
      </c>
      <c r="J7122" t="s">
        <v>918</v>
      </c>
      <c r="K7122" t="s">
        <v>69</v>
      </c>
      <c r="L7122">
        <v>8000275523</v>
      </c>
      <c r="N7122" t="s">
        <v>1031</v>
      </c>
    </row>
    <row r="7123" spans="3:14">
      <c r="C7123">
        <v>2100300025</v>
      </c>
      <c r="D7123">
        <v>6426000</v>
      </c>
      <c r="E7123" t="s">
        <v>188</v>
      </c>
      <c r="F7123">
        <v>5104010104</v>
      </c>
      <c r="G7123" s="13">
        <v>6600</v>
      </c>
      <c r="I7123" t="s">
        <v>150</v>
      </c>
      <c r="J7123" t="s">
        <v>827</v>
      </c>
      <c r="K7123" t="s">
        <v>69</v>
      </c>
      <c r="L7123">
        <v>8000276374</v>
      </c>
      <c r="N7123" t="s">
        <v>1031</v>
      </c>
    </row>
    <row r="7124" spans="3:14">
      <c r="C7124">
        <v>2100300025</v>
      </c>
      <c r="D7124">
        <v>6426000</v>
      </c>
      <c r="E7124" t="s">
        <v>188</v>
      </c>
      <c r="F7124">
        <v>5104010104</v>
      </c>
      <c r="G7124" s="13">
        <v>113850</v>
      </c>
      <c r="I7124" t="s">
        <v>150</v>
      </c>
      <c r="J7124" t="s">
        <v>914</v>
      </c>
      <c r="K7124" t="s">
        <v>69</v>
      </c>
      <c r="L7124">
        <v>8000276385</v>
      </c>
      <c r="N7124" t="s">
        <v>1031</v>
      </c>
    </row>
    <row r="7125" spans="3:14">
      <c r="C7125">
        <v>2100300025</v>
      </c>
      <c r="D7125">
        <v>6426000</v>
      </c>
      <c r="E7125" t="s">
        <v>188</v>
      </c>
      <c r="F7125">
        <v>5104010104</v>
      </c>
      <c r="G7125" s="13">
        <v>2825</v>
      </c>
      <c r="I7125" t="s">
        <v>150</v>
      </c>
      <c r="J7125" t="s">
        <v>920</v>
      </c>
      <c r="K7125" t="s">
        <v>69</v>
      </c>
      <c r="L7125">
        <v>8000201708</v>
      </c>
      <c r="N7125" t="s">
        <v>1031</v>
      </c>
    </row>
    <row r="7126" spans="3:14">
      <c r="C7126">
        <v>2100300025</v>
      </c>
      <c r="D7126">
        <v>6426000</v>
      </c>
      <c r="E7126" t="s">
        <v>188</v>
      </c>
      <c r="F7126">
        <v>5104010104</v>
      </c>
      <c r="G7126" s="13">
        <v>73170</v>
      </c>
      <c r="I7126" t="s">
        <v>150</v>
      </c>
      <c r="J7126" t="s">
        <v>1239</v>
      </c>
      <c r="K7126" t="s">
        <v>69</v>
      </c>
      <c r="L7126">
        <v>8000269068</v>
      </c>
      <c r="N7126" t="s">
        <v>1031</v>
      </c>
    </row>
    <row r="7127" spans="3:14">
      <c r="C7127">
        <v>2100300025</v>
      </c>
      <c r="D7127">
        <v>6426000</v>
      </c>
      <c r="E7127" t="s">
        <v>188</v>
      </c>
      <c r="F7127">
        <v>5104010104</v>
      </c>
      <c r="G7127" s="13">
        <v>22470</v>
      </c>
      <c r="I7127" t="s">
        <v>150</v>
      </c>
      <c r="J7127" t="s">
        <v>824</v>
      </c>
      <c r="K7127" t="s">
        <v>69</v>
      </c>
      <c r="L7127">
        <v>8000266039</v>
      </c>
      <c r="N7127" t="s">
        <v>1031</v>
      </c>
    </row>
    <row r="7128" spans="3:14">
      <c r="C7128">
        <v>2100300025</v>
      </c>
      <c r="D7128">
        <v>6426000</v>
      </c>
      <c r="E7128" t="s">
        <v>188</v>
      </c>
      <c r="F7128">
        <v>5104010104</v>
      </c>
      <c r="G7128" s="13">
        <v>52500</v>
      </c>
      <c r="I7128" t="s">
        <v>150</v>
      </c>
      <c r="J7128" t="s">
        <v>916</v>
      </c>
      <c r="K7128" t="s">
        <v>69</v>
      </c>
      <c r="L7128">
        <v>8000194390</v>
      </c>
      <c r="N7128" t="s">
        <v>1031</v>
      </c>
    </row>
    <row r="7129" spans="3:14">
      <c r="C7129">
        <v>2100300025</v>
      </c>
      <c r="D7129">
        <v>6426000</v>
      </c>
      <c r="E7129" t="s">
        <v>188</v>
      </c>
      <c r="F7129">
        <v>5104010104</v>
      </c>
      <c r="G7129" s="13">
        <v>167000</v>
      </c>
      <c r="I7129" t="s">
        <v>150</v>
      </c>
      <c r="J7129" t="s">
        <v>918</v>
      </c>
      <c r="K7129" t="s">
        <v>69</v>
      </c>
      <c r="L7129">
        <v>8000256214</v>
      </c>
      <c r="N7129" t="s">
        <v>1031</v>
      </c>
    </row>
    <row r="7130" spans="3:14">
      <c r="C7130">
        <v>2100300025</v>
      </c>
      <c r="D7130">
        <v>6426000</v>
      </c>
      <c r="E7130" t="s">
        <v>188</v>
      </c>
      <c r="F7130">
        <v>5104010104</v>
      </c>
      <c r="G7130" s="13">
        <v>138000</v>
      </c>
      <c r="I7130" t="s">
        <v>150</v>
      </c>
      <c r="J7130" t="s">
        <v>918</v>
      </c>
      <c r="K7130" t="s">
        <v>69</v>
      </c>
      <c r="L7130">
        <v>8000283698</v>
      </c>
      <c r="N7130" t="s">
        <v>1031</v>
      </c>
    </row>
    <row r="7131" spans="3:14">
      <c r="C7131">
        <v>2100300025</v>
      </c>
      <c r="D7131">
        <v>6426000</v>
      </c>
      <c r="E7131" t="s">
        <v>188</v>
      </c>
      <c r="F7131">
        <v>5104010104</v>
      </c>
      <c r="G7131" s="13">
        <v>-6000</v>
      </c>
      <c r="I7131" t="s">
        <v>150</v>
      </c>
      <c r="J7131" t="s">
        <v>929</v>
      </c>
      <c r="K7131" t="s">
        <v>69</v>
      </c>
      <c r="L7131">
        <v>8000418277</v>
      </c>
      <c r="N7131" t="s">
        <v>1031</v>
      </c>
    </row>
    <row r="7132" spans="3:14">
      <c r="C7132">
        <v>2100300025</v>
      </c>
      <c r="D7132">
        <v>6426000</v>
      </c>
      <c r="E7132" t="s">
        <v>188</v>
      </c>
      <c r="F7132">
        <v>5104010104</v>
      </c>
      <c r="G7132" s="13">
        <v>-37500</v>
      </c>
      <c r="I7132" t="s">
        <v>150</v>
      </c>
      <c r="J7132" t="s">
        <v>579</v>
      </c>
      <c r="K7132" t="s">
        <v>69</v>
      </c>
      <c r="L7132">
        <v>8000497617</v>
      </c>
      <c r="N7132" t="s">
        <v>1031</v>
      </c>
    </row>
    <row r="7133" spans="3:14">
      <c r="C7133">
        <v>2100300025</v>
      </c>
      <c r="D7133">
        <v>6426000</v>
      </c>
      <c r="E7133" t="s">
        <v>188</v>
      </c>
      <c r="F7133">
        <v>5104010104</v>
      </c>
      <c r="G7133" s="13">
        <v>-12500</v>
      </c>
      <c r="I7133" t="s">
        <v>150</v>
      </c>
      <c r="J7133" t="s">
        <v>579</v>
      </c>
      <c r="K7133" t="s">
        <v>69</v>
      </c>
      <c r="L7133">
        <v>8000498403</v>
      </c>
      <c r="N7133" t="s">
        <v>1031</v>
      </c>
    </row>
    <row r="7134" spans="3:14">
      <c r="C7134">
        <v>2100300025</v>
      </c>
      <c r="D7134">
        <v>6426000</v>
      </c>
      <c r="E7134" t="s">
        <v>188</v>
      </c>
      <c r="F7134">
        <v>5104010104</v>
      </c>
      <c r="G7134" s="13">
        <v>-19950</v>
      </c>
      <c r="I7134" t="s">
        <v>150</v>
      </c>
      <c r="J7134" t="s">
        <v>579</v>
      </c>
      <c r="K7134" t="s">
        <v>69</v>
      </c>
      <c r="L7134">
        <v>8000498405</v>
      </c>
      <c r="N7134" t="s">
        <v>1031</v>
      </c>
    </row>
    <row r="7135" spans="3:14">
      <c r="C7135">
        <v>2100300025</v>
      </c>
      <c r="D7135">
        <v>6426000</v>
      </c>
      <c r="E7135" t="s">
        <v>188</v>
      </c>
      <c r="F7135">
        <v>5104010104</v>
      </c>
      <c r="G7135" s="13">
        <v>-300000</v>
      </c>
      <c r="I7135" t="s">
        <v>150</v>
      </c>
      <c r="J7135" t="s">
        <v>832</v>
      </c>
      <c r="K7135" t="s">
        <v>69</v>
      </c>
      <c r="L7135">
        <v>8000514507</v>
      </c>
      <c r="N7135" t="s">
        <v>1031</v>
      </c>
    </row>
    <row r="7136" spans="3:14">
      <c r="C7136">
        <v>2100300025</v>
      </c>
      <c r="D7136">
        <v>6426000</v>
      </c>
      <c r="E7136" t="s">
        <v>188</v>
      </c>
      <c r="F7136">
        <v>5104010104</v>
      </c>
      <c r="G7136" s="13">
        <v>300000</v>
      </c>
      <c r="I7136" t="s">
        <v>150</v>
      </c>
      <c r="J7136" t="s">
        <v>933</v>
      </c>
      <c r="K7136" t="s">
        <v>69</v>
      </c>
      <c r="L7136">
        <v>8000514508</v>
      </c>
      <c r="N7136" t="s">
        <v>1031</v>
      </c>
    </row>
    <row r="7137" spans="3:14">
      <c r="C7137">
        <v>2100300025</v>
      </c>
      <c r="D7137">
        <v>6426000</v>
      </c>
      <c r="E7137" t="s">
        <v>188</v>
      </c>
      <c r="F7137">
        <v>5104010104</v>
      </c>
      <c r="G7137" s="13">
        <v>-133250</v>
      </c>
      <c r="I7137" t="s">
        <v>150</v>
      </c>
      <c r="J7137" t="s">
        <v>564</v>
      </c>
      <c r="K7137" t="s">
        <v>69</v>
      </c>
      <c r="L7137">
        <v>8000319488</v>
      </c>
      <c r="N7137" t="s">
        <v>1031</v>
      </c>
    </row>
    <row r="7138" spans="3:14">
      <c r="C7138">
        <v>2100300025</v>
      </c>
      <c r="D7138">
        <v>6426000</v>
      </c>
      <c r="E7138" t="s">
        <v>188</v>
      </c>
      <c r="F7138">
        <v>5104010104</v>
      </c>
      <c r="G7138">
        <v>-719.32</v>
      </c>
      <c r="I7138" t="s">
        <v>150</v>
      </c>
      <c r="J7138" t="s">
        <v>1291</v>
      </c>
      <c r="K7138" t="s">
        <v>69</v>
      </c>
      <c r="L7138">
        <v>8000401055</v>
      </c>
      <c r="N7138" t="s">
        <v>1435</v>
      </c>
    </row>
    <row r="7139" spans="3:14">
      <c r="C7139">
        <v>2100300025</v>
      </c>
      <c r="D7139">
        <v>6426000</v>
      </c>
      <c r="E7139" t="s">
        <v>188</v>
      </c>
      <c r="F7139">
        <v>5104010104</v>
      </c>
      <c r="G7139" s="13">
        <v>-20830</v>
      </c>
      <c r="I7139" t="s">
        <v>150</v>
      </c>
      <c r="J7139" t="s">
        <v>923</v>
      </c>
      <c r="K7139" t="s">
        <v>69</v>
      </c>
      <c r="L7139">
        <v>8000430000</v>
      </c>
      <c r="N7139" t="s">
        <v>1031</v>
      </c>
    </row>
    <row r="7140" spans="3:14">
      <c r="C7140">
        <v>2100300025</v>
      </c>
      <c r="D7140">
        <v>6426000</v>
      </c>
      <c r="E7140" t="s">
        <v>188</v>
      </c>
      <c r="F7140">
        <v>5104010104</v>
      </c>
      <c r="G7140" s="13">
        <v>295000</v>
      </c>
      <c r="I7140" t="s">
        <v>150</v>
      </c>
      <c r="J7140" t="s">
        <v>925</v>
      </c>
      <c r="K7140" t="s">
        <v>69</v>
      </c>
      <c r="L7140">
        <v>8000383439</v>
      </c>
      <c r="N7140" t="s">
        <v>1031</v>
      </c>
    </row>
    <row r="7141" spans="3:14">
      <c r="C7141">
        <v>2100300025</v>
      </c>
      <c r="D7141">
        <v>6426000</v>
      </c>
      <c r="E7141" t="s">
        <v>188</v>
      </c>
      <c r="F7141">
        <v>5104010104</v>
      </c>
      <c r="G7141" s="13">
        <v>16000</v>
      </c>
      <c r="I7141" t="s">
        <v>150</v>
      </c>
      <c r="J7141" t="s">
        <v>829</v>
      </c>
      <c r="K7141" t="s">
        <v>69</v>
      </c>
      <c r="L7141">
        <v>8000385875</v>
      </c>
      <c r="N7141" t="s">
        <v>1031</v>
      </c>
    </row>
    <row r="7142" spans="3:14">
      <c r="C7142">
        <v>2100300025</v>
      </c>
      <c r="D7142">
        <v>6426000</v>
      </c>
      <c r="E7142" t="s">
        <v>188</v>
      </c>
      <c r="F7142">
        <v>5104010104</v>
      </c>
      <c r="G7142" s="13">
        <v>133250</v>
      </c>
      <c r="I7142" t="s">
        <v>150</v>
      </c>
      <c r="J7142" t="s">
        <v>564</v>
      </c>
      <c r="K7142" t="s">
        <v>69</v>
      </c>
      <c r="L7142">
        <v>8000306139</v>
      </c>
      <c r="N7142" t="s">
        <v>1031</v>
      </c>
    </row>
    <row r="7143" spans="3:14">
      <c r="C7143">
        <v>2100300025</v>
      </c>
      <c r="D7143">
        <v>6426000</v>
      </c>
      <c r="E7143" t="s">
        <v>188</v>
      </c>
      <c r="F7143">
        <v>5104010104</v>
      </c>
      <c r="G7143" s="13">
        <v>45000</v>
      </c>
      <c r="I7143" t="s">
        <v>150</v>
      </c>
      <c r="J7143" t="s">
        <v>927</v>
      </c>
      <c r="K7143" t="s">
        <v>69</v>
      </c>
      <c r="L7143">
        <v>8000339937</v>
      </c>
      <c r="N7143" t="s">
        <v>1031</v>
      </c>
    </row>
    <row r="7144" spans="3:14">
      <c r="C7144">
        <v>2100300025</v>
      </c>
      <c r="D7144">
        <v>6426000</v>
      </c>
      <c r="E7144" t="s">
        <v>188</v>
      </c>
      <c r="F7144">
        <v>5104010104</v>
      </c>
      <c r="G7144" s="13">
        <v>10620</v>
      </c>
      <c r="I7144" t="s">
        <v>150</v>
      </c>
      <c r="J7144" t="s">
        <v>1001</v>
      </c>
      <c r="K7144" t="s">
        <v>69</v>
      </c>
      <c r="L7144">
        <v>8000337330</v>
      </c>
      <c r="N7144" t="s">
        <v>1031</v>
      </c>
    </row>
    <row r="7145" spans="3:14">
      <c r="C7145">
        <v>2100300025</v>
      </c>
      <c r="D7145">
        <v>6426000</v>
      </c>
      <c r="E7145" t="s">
        <v>188</v>
      </c>
      <c r="F7145">
        <v>5104010104</v>
      </c>
      <c r="G7145" s="13">
        <v>25500</v>
      </c>
      <c r="I7145" t="s">
        <v>150</v>
      </c>
      <c r="J7145" t="s">
        <v>801</v>
      </c>
      <c r="K7145" t="s">
        <v>69</v>
      </c>
      <c r="L7145">
        <v>8000365692</v>
      </c>
      <c r="N7145" t="s">
        <v>1031</v>
      </c>
    </row>
    <row r="7146" spans="3:14">
      <c r="C7146">
        <v>2100300025</v>
      </c>
      <c r="D7146">
        <v>6426000</v>
      </c>
      <c r="E7146" t="s">
        <v>188</v>
      </c>
      <c r="F7146">
        <v>5104010104</v>
      </c>
      <c r="G7146" s="13">
        <v>22560</v>
      </c>
      <c r="I7146" t="s">
        <v>150</v>
      </c>
      <c r="J7146" t="s">
        <v>801</v>
      </c>
      <c r="K7146" t="s">
        <v>69</v>
      </c>
      <c r="L7146">
        <v>8000364953</v>
      </c>
      <c r="N7146" t="s">
        <v>1031</v>
      </c>
    </row>
    <row r="7147" spans="3:14">
      <c r="C7147">
        <v>2100300025</v>
      </c>
      <c r="D7147">
        <v>6426000</v>
      </c>
      <c r="E7147" t="s">
        <v>188</v>
      </c>
      <c r="F7147">
        <v>5104010104</v>
      </c>
      <c r="G7147" s="13">
        <v>82000</v>
      </c>
      <c r="I7147" t="s">
        <v>150</v>
      </c>
      <c r="J7147" t="s">
        <v>801</v>
      </c>
      <c r="K7147" t="s">
        <v>69</v>
      </c>
      <c r="L7147">
        <v>8000365698</v>
      </c>
      <c r="N7147" t="s">
        <v>1032</v>
      </c>
    </row>
    <row r="7148" spans="3:14">
      <c r="C7148">
        <v>2100300025</v>
      </c>
      <c r="D7148">
        <v>6426000</v>
      </c>
      <c r="E7148" t="s">
        <v>188</v>
      </c>
      <c r="F7148">
        <v>5104010104</v>
      </c>
      <c r="G7148" s="13">
        <v>41604</v>
      </c>
      <c r="I7148" t="s">
        <v>150</v>
      </c>
      <c r="J7148" t="s">
        <v>801</v>
      </c>
      <c r="K7148" t="s">
        <v>69</v>
      </c>
      <c r="L7148">
        <v>8000366049</v>
      </c>
      <c r="N7148" t="s">
        <v>1031</v>
      </c>
    </row>
    <row r="7149" spans="3:14">
      <c r="C7149">
        <v>2100300025</v>
      </c>
      <c r="D7149">
        <v>6426000</v>
      </c>
      <c r="E7149" t="s">
        <v>188</v>
      </c>
      <c r="F7149">
        <v>5104010104</v>
      </c>
      <c r="G7149" s="13">
        <v>32240</v>
      </c>
      <c r="I7149" t="s">
        <v>150</v>
      </c>
      <c r="J7149" t="s">
        <v>925</v>
      </c>
      <c r="K7149" t="s">
        <v>69</v>
      </c>
      <c r="L7149">
        <v>8000514413</v>
      </c>
      <c r="N7149" t="s">
        <v>1031</v>
      </c>
    </row>
    <row r="7150" spans="3:14">
      <c r="C7150">
        <v>2100300025</v>
      </c>
      <c r="D7150">
        <v>6426000</v>
      </c>
      <c r="E7150" t="s">
        <v>188</v>
      </c>
      <c r="F7150">
        <v>5104010104</v>
      </c>
      <c r="G7150" s="13">
        <v>20830</v>
      </c>
      <c r="I7150" t="s">
        <v>150</v>
      </c>
      <c r="J7150" t="s">
        <v>923</v>
      </c>
      <c r="K7150" t="s">
        <v>69</v>
      </c>
      <c r="L7150">
        <v>8000402042</v>
      </c>
      <c r="N7150" t="s">
        <v>1031</v>
      </c>
    </row>
    <row r="7151" spans="3:14">
      <c r="C7151">
        <v>2100300025</v>
      </c>
      <c r="D7151">
        <v>6426000</v>
      </c>
      <c r="E7151" t="s">
        <v>188</v>
      </c>
      <c r="F7151">
        <v>5104010104</v>
      </c>
      <c r="G7151" s="13">
        <v>50000</v>
      </c>
      <c r="I7151" t="s">
        <v>150</v>
      </c>
      <c r="J7151" t="s">
        <v>922</v>
      </c>
      <c r="K7151" t="s">
        <v>69</v>
      </c>
      <c r="L7151">
        <v>8000313452</v>
      </c>
      <c r="N7151" t="s">
        <v>1031</v>
      </c>
    </row>
    <row r="7152" spans="3:14">
      <c r="C7152">
        <v>2100300025</v>
      </c>
      <c r="D7152">
        <v>6426000</v>
      </c>
      <c r="E7152" t="s">
        <v>188</v>
      </c>
      <c r="F7152">
        <v>5104010104</v>
      </c>
      <c r="G7152" s="13">
        <v>96000</v>
      </c>
      <c r="I7152" t="s">
        <v>150</v>
      </c>
      <c r="J7152" t="s">
        <v>922</v>
      </c>
      <c r="K7152" t="s">
        <v>69</v>
      </c>
      <c r="L7152">
        <v>8000348707</v>
      </c>
      <c r="N7152" t="s">
        <v>1031</v>
      </c>
    </row>
    <row r="7153" spans="3:14">
      <c r="C7153">
        <v>2100300025</v>
      </c>
      <c r="D7153">
        <v>6426000</v>
      </c>
      <c r="E7153" t="s">
        <v>188</v>
      </c>
      <c r="F7153">
        <v>5104010104</v>
      </c>
      <c r="G7153" s="13">
        <v>13739</v>
      </c>
      <c r="I7153" t="s">
        <v>150</v>
      </c>
      <c r="J7153" t="s">
        <v>925</v>
      </c>
      <c r="K7153" t="s">
        <v>69</v>
      </c>
      <c r="L7153">
        <v>8000433528</v>
      </c>
      <c r="N7153" t="s">
        <v>1031</v>
      </c>
    </row>
    <row r="7154" spans="3:14">
      <c r="C7154">
        <v>2100300025</v>
      </c>
      <c r="D7154">
        <v>6426000</v>
      </c>
      <c r="E7154" t="s">
        <v>188</v>
      </c>
      <c r="F7154">
        <v>5104010104</v>
      </c>
      <c r="G7154" s="13">
        <v>-5080</v>
      </c>
      <c r="I7154" t="s">
        <v>150</v>
      </c>
      <c r="J7154" t="s">
        <v>838</v>
      </c>
      <c r="K7154" t="s">
        <v>69</v>
      </c>
      <c r="L7154">
        <v>8000580503</v>
      </c>
      <c r="N7154" t="s">
        <v>1031</v>
      </c>
    </row>
    <row r="7155" spans="3:14">
      <c r="C7155">
        <v>2100300025</v>
      </c>
      <c r="D7155">
        <v>6426000</v>
      </c>
      <c r="E7155" t="s">
        <v>188</v>
      </c>
      <c r="F7155">
        <v>5104010104</v>
      </c>
      <c r="G7155" s="13">
        <v>-61320</v>
      </c>
      <c r="I7155" t="s">
        <v>150</v>
      </c>
      <c r="J7155" t="s">
        <v>931</v>
      </c>
      <c r="K7155" t="s">
        <v>69</v>
      </c>
      <c r="L7155">
        <v>8000527372</v>
      </c>
      <c r="N7155" t="s">
        <v>1031</v>
      </c>
    </row>
    <row r="7156" spans="3:14">
      <c r="C7156">
        <v>2100300025</v>
      </c>
      <c r="D7156">
        <v>6426000</v>
      </c>
      <c r="E7156" t="s">
        <v>188</v>
      </c>
      <c r="F7156">
        <v>5104010104</v>
      </c>
      <c r="G7156" s="13">
        <v>11258</v>
      </c>
      <c r="I7156" t="s">
        <v>150</v>
      </c>
      <c r="J7156" t="s">
        <v>932</v>
      </c>
      <c r="K7156" t="s">
        <v>69</v>
      </c>
      <c r="L7156">
        <v>8000489307</v>
      </c>
      <c r="N7156" t="s">
        <v>1031</v>
      </c>
    </row>
    <row r="7157" spans="3:14">
      <c r="C7157">
        <v>2100300025</v>
      </c>
      <c r="D7157">
        <v>6426000</v>
      </c>
      <c r="E7157" t="s">
        <v>188</v>
      </c>
      <c r="F7157">
        <v>5104010104</v>
      </c>
      <c r="G7157" s="13">
        <v>5476.7</v>
      </c>
      <c r="I7157" t="s">
        <v>150</v>
      </c>
      <c r="J7157" t="s">
        <v>933</v>
      </c>
      <c r="K7157" t="s">
        <v>69</v>
      </c>
      <c r="L7157">
        <v>8000514676</v>
      </c>
      <c r="N7157" t="s">
        <v>1031</v>
      </c>
    </row>
    <row r="7158" spans="3:14">
      <c r="C7158">
        <v>2100300025</v>
      </c>
      <c r="D7158">
        <v>6426000</v>
      </c>
      <c r="E7158" t="s">
        <v>188</v>
      </c>
      <c r="F7158">
        <v>5104010104</v>
      </c>
      <c r="G7158" s="13">
        <v>26000</v>
      </c>
      <c r="I7158" t="s">
        <v>150</v>
      </c>
      <c r="J7158" t="s">
        <v>933</v>
      </c>
      <c r="K7158" t="s">
        <v>69</v>
      </c>
      <c r="L7158">
        <v>8000510414</v>
      </c>
      <c r="N7158" t="s">
        <v>1031</v>
      </c>
    </row>
    <row r="7159" spans="3:14">
      <c r="C7159">
        <v>2100300025</v>
      </c>
      <c r="D7159">
        <v>6426000</v>
      </c>
      <c r="E7159" t="s">
        <v>188</v>
      </c>
      <c r="F7159">
        <v>5104010104</v>
      </c>
      <c r="G7159" s="13">
        <v>12397</v>
      </c>
      <c r="I7159" t="s">
        <v>150</v>
      </c>
      <c r="J7159" t="s">
        <v>583</v>
      </c>
      <c r="K7159" t="s">
        <v>69</v>
      </c>
      <c r="L7159">
        <v>8000766109</v>
      </c>
      <c r="N7159" t="s">
        <v>1031</v>
      </c>
    </row>
    <row r="7160" spans="3:14">
      <c r="C7160">
        <v>2100300025</v>
      </c>
      <c r="D7160">
        <v>6426000</v>
      </c>
      <c r="E7160" t="s">
        <v>188</v>
      </c>
      <c r="F7160">
        <v>5104010104</v>
      </c>
      <c r="G7160" s="13">
        <v>6000</v>
      </c>
      <c r="I7160" t="s">
        <v>150</v>
      </c>
      <c r="J7160" t="s">
        <v>951</v>
      </c>
      <c r="K7160" t="s">
        <v>69</v>
      </c>
      <c r="L7160">
        <v>8000821822</v>
      </c>
      <c r="N7160" t="s">
        <v>1031</v>
      </c>
    </row>
    <row r="7161" spans="3:14">
      <c r="C7161">
        <v>2100300025</v>
      </c>
      <c r="D7161">
        <v>6426000</v>
      </c>
      <c r="E7161" t="s">
        <v>188</v>
      </c>
      <c r="F7161">
        <v>5104010104</v>
      </c>
      <c r="G7161" s="13">
        <v>7665</v>
      </c>
      <c r="I7161" t="s">
        <v>150</v>
      </c>
      <c r="J7161" t="s">
        <v>1345</v>
      </c>
      <c r="K7161" t="s">
        <v>69</v>
      </c>
      <c r="L7161">
        <v>8000807006</v>
      </c>
      <c r="N7161" t="s">
        <v>1031</v>
      </c>
    </row>
    <row r="7162" spans="3:14">
      <c r="C7162">
        <v>2100300025</v>
      </c>
      <c r="D7162">
        <v>6426000</v>
      </c>
      <c r="E7162" t="s">
        <v>188</v>
      </c>
      <c r="F7162">
        <v>5104010104</v>
      </c>
      <c r="G7162" s="13">
        <v>12600</v>
      </c>
      <c r="I7162" t="s">
        <v>150</v>
      </c>
      <c r="J7162" t="s">
        <v>821</v>
      </c>
      <c r="K7162" t="s">
        <v>69</v>
      </c>
      <c r="L7162">
        <v>8000126546</v>
      </c>
      <c r="N7162" t="s">
        <v>1031</v>
      </c>
    </row>
    <row r="7163" spans="3:14">
      <c r="C7163">
        <v>2100300025</v>
      </c>
      <c r="D7163">
        <v>6426000</v>
      </c>
      <c r="E7163" t="s">
        <v>188</v>
      </c>
      <c r="F7163">
        <v>5104010104</v>
      </c>
      <c r="G7163" s="13">
        <v>47700</v>
      </c>
      <c r="I7163" t="s">
        <v>150</v>
      </c>
      <c r="J7163" t="s">
        <v>821</v>
      </c>
      <c r="K7163" t="s">
        <v>69</v>
      </c>
      <c r="L7163">
        <v>8000124963</v>
      </c>
      <c r="N7163" t="s">
        <v>1031</v>
      </c>
    </row>
    <row r="7164" spans="3:14">
      <c r="C7164">
        <v>2100300025</v>
      </c>
      <c r="D7164">
        <v>6426000</v>
      </c>
      <c r="E7164" t="s">
        <v>188</v>
      </c>
      <c r="F7164">
        <v>5104010104</v>
      </c>
      <c r="G7164" s="13">
        <v>-2825</v>
      </c>
      <c r="I7164" t="s">
        <v>150</v>
      </c>
      <c r="J7164" t="s">
        <v>920</v>
      </c>
      <c r="K7164" t="s">
        <v>69</v>
      </c>
      <c r="L7164">
        <v>8000212507</v>
      </c>
      <c r="N7164" t="s">
        <v>1031</v>
      </c>
    </row>
    <row r="7165" spans="3:14">
      <c r="C7165">
        <v>2100300025</v>
      </c>
      <c r="D7165">
        <v>6426000</v>
      </c>
      <c r="E7165" t="s">
        <v>188</v>
      </c>
      <c r="F7165">
        <v>5104010104</v>
      </c>
      <c r="G7165" s="13">
        <v>-64628</v>
      </c>
      <c r="I7165" t="s">
        <v>150</v>
      </c>
      <c r="J7165" t="s">
        <v>1185</v>
      </c>
      <c r="K7165" t="s">
        <v>69</v>
      </c>
      <c r="L7165">
        <v>8000277428</v>
      </c>
      <c r="N7165" t="s">
        <v>1031</v>
      </c>
    </row>
    <row r="7166" spans="3:14">
      <c r="C7166">
        <v>2100300025</v>
      </c>
      <c r="D7166">
        <v>6426000</v>
      </c>
      <c r="E7166" t="s">
        <v>188</v>
      </c>
      <c r="F7166">
        <v>5104010104</v>
      </c>
      <c r="G7166" s="13">
        <v>64628</v>
      </c>
      <c r="I7166" t="s">
        <v>150</v>
      </c>
      <c r="J7166" t="s">
        <v>914</v>
      </c>
      <c r="K7166" t="s">
        <v>69</v>
      </c>
      <c r="L7166">
        <v>8000277431</v>
      </c>
      <c r="N7166" t="s">
        <v>1031</v>
      </c>
    </row>
    <row r="7167" spans="3:14">
      <c r="C7167">
        <v>2100300025</v>
      </c>
      <c r="D7167">
        <v>6426000</v>
      </c>
      <c r="E7167" t="s">
        <v>188</v>
      </c>
      <c r="F7167">
        <v>5104010104</v>
      </c>
      <c r="G7167" s="13">
        <v>30650</v>
      </c>
      <c r="I7167" t="s">
        <v>150</v>
      </c>
      <c r="J7167" t="s">
        <v>915</v>
      </c>
      <c r="K7167" t="s">
        <v>69</v>
      </c>
      <c r="L7167">
        <v>8000216011</v>
      </c>
      <c r="N7167" t="s">
        <v>1031</v>
      </c>
    </row>
    <row r="7168" spans="3:14">
      <c r="C7168">
        <v>2100300025</v>
      </c>
      <c r="D7168">
        <v>6426000</v>
      </c>
      <c r="E7168" t="s">
        <v>188</v>
      </c>
      <c r="F7168">
        <v>5104010104</v>
      </c>
      <c r="G7168" s="13">
        <v>250000</v>
      </c>
      <c r="I7168" t="s">
        <v>150</v>
      </c>
      <c r="J7168" t="s">
        <v>827</v>
      </c>
      <c r="K7168" t="s">
        <v>69</v>
      </c>
      <c r="L7168">
        <v>8000262771</v>
      </c>
      <c r="N7168" t="s">
        <v>1031</v>
      </c>
    </row>
    <row r="7169" spans="3:14">
      <c r="C7169">
        <v>2100300025</v>
      </c>
      <c r="D7169">
        <v>6426000</v>
      </c>
      <c r="E7169" t="s">
        <v>188</v>
      </c>
      <c r="F7169">
        <v>5104010104</v>
      </c>
      <c r="G7169" s="13">
        <v>32500</v>
      </c>
      <c r="I7169" t="s">
        <v>150</v>
      </c>
      <c r="J7169" t="s">
        <v>827</v>
      </c>
      <c r="K7169" t="s">
        <v>69</v>
      </c>
      <c r="L7169">
        <v>8000262774</v>
      </c>
      <c r="N7169" t="s">
        <v>1031</v>
      </c>
    </row>
    <row r="7170" spans="3:14">
      <c r="C7170">
        <v>2100300025</v>
      </c>
      <c r="D7170">
        <v>6426000</v>
      </c>
      <c r="E7170" t="s">
        <v>188</v>
      </c>
      <c r="F7170">
        <v>5104010104</v>
      </c>
      <c r="G7170" s="13">
        <v>181000</v>
      </c>
      <c r="I7170" t="s">
        <v>150</v>
      </c>
      <c r="J7170" t="s">
        <v>579</v>
      </c>
      <c r="K7170" t="s">
        <v>69</v>
      </c>
      <c r="L7170">
        <v>8000458329</v>
      </c>
      <c r="N7170" t="s">
        <v>1031</v>
      </c>
    </row>
    <row r="7171" spans="3:14">
      <c r="C7171">
        <v>2100300025</v>
      </c>
      <c r="D7171">
        <v>6426000</v>
      </c>
      <c r="E7171" t="s">
        <v>188</v>
      </c>
      <c r="F7171">
        <v>5104010104</v>
      </c>
      <c r="G7171" s="13">
        <v>72000</v>
      </c>
      <c r="I7171" t="s">
        <v>150</v>
      </c>
      <c r="J7171" t="s">
        <v>564</v>
      </c>
      <c r="K7171" t="s">
        <v>69</v>
      </c>
      <c r="L7171">
        <v>8000293979</v>
      </c>
      <c r="N7171" t="s">
        <v>1031</v>
      </c>
    </row>
    <row r="7172" spans="3:14">
      <c r="C7172">
        <v>2100300025</v>
      </c>
      <c r="D7172">
        <v>6426000</v>
      </c>
      <c r="E7172" t="s">
        <v>188</v>
      </c>
      <c r="F7172">
        <v>5104010104</v>
      </c>
      <c r="G7172" s="13">
        <v>9045</v>
      </c>
      <c r="I7172" t="s">
        <v>150</v>
      </c>
      <c r="J7172" t="s">
        <v>831</v>
      </c>
      <c r="K7172" t="s">
        <v>69</v>
      </c>
      <c r="L7172">
        <v>8000451873</v>
      </c>
      <c r="N7172" t="s">
        <v>1031</v>
      </c>
    </row>
    <row r="7173" spans="3:14">
      <c r="C7173">
        <v>2100300025</v>
      </c>
      <c r="D7173">
        <v>6426000</v>
      </c>
      <c r="E7173" t="s">
        <v>188</v>
      </c>
      <c r="F7173">
        <v>5104010104</v>
      </c>
      <c r="G7173" s="13">
        <v>5235</v>
      </c>
      <c r="I7173" t="s">
        <v>150</v>
      </c>
      <c r="J7173" t="s">
        <v>929</v>
      </c>
      <c r="K7173" t="s">
        <v>69</v>
      </c>
      <c r="L7173">
        <v>8000404991</v>
      </c>
      <c r="N7173" t="s">
        <v>1031</v>
      </c>
    </row>
    <row r="7174" spans="3:14">
      <c r="C7174">
        <v>2100300025</v>
      </c>
      <c r="D7174">
        <v>6426000</v>
      </c>
      <c r="E7174" t="s">
        <v>188</v>
      </c>
      <c r="F7174">
        <v>5104010104</v>
      </c>
      <c r="G7174" s="13">
        <v>116000</v>
      </c>
      <c r="I7174" t="s">
        <v>150</v>
      </c>
      <c r="J7174" t="s">
        <v>564</v>
      </c>
      <c r="K7174" t="s">
        <v>69</v>
      </c>
      <c r="L7174">
        <v>8000353056</v>
      </c>
      <c r="N7174" t="s">
        <v>1031</v>
      </c>
    </row>
    <row r="7175" spans="3:14">
      <c r="C7175">
        <v>2100300025</v>
      </c>
      <c r="D7175">
        <v>6426000</v>
      </c>
      <c r="E7175" t="s">
        <v>188</v>
      </c>
      <c r="F7175">
        <v>5104010104</v>
      </c>
      <c r="G7175" s="13">
        <v>6000</v>
      </c>
      <c r="I7175" t="s">
        <v>150</v>
      </c>
      <c r="J7175" t="s">
        <v>929</v>
      </c>
      <c r="K7175" t="s">
        <v>69</v>
      </c>
      <c r="L7175">
        <v>8000401348</v>
      </c>
      <c r="N7175" t="s">
        <v>1031</v>
      </c>
    </row>
    <row r="7176" spans="3:14">
      <c r="C7176">
        <v>2100300025</v>
      </c>
      <c r="D7176">
        <v>6426000</v>
      </c>
      <c r="E7176" t="s">
        <v>188</v>
      </c>
      <c r="F7176">
        <v>5104010104</v>
      </c>
      <c r="G7176" s="13">
        <v>32240</v>
      </c>
      <c r="I7176" t="s">
        <v>150</v>
      </c>
      <c r="J7176" t="s">
        <v>925</v>
      </c>
      <c r="K7176" t="s">
        <v>69</v>
      </c>
      <c r="L7176">
        <v>8000401063</v>
      </c>
      <c r="N7176" t="s">
        <v>1031</v>
      </c>
    </row>
    <row r="7177" spans="3:14">
      <c r="C7177">
        <v>2100300025</v>
      </c>
      <c r="D7177">
        <v>6426000</v>
      </c>
      <c r="E7177" t="s">
        <v>188</v>
      </c>
      <c r="F7177">
        <v>5104010104</v>
      </c>
      <c r="G7177" s="13">
        <v>19950</v>
      </c>
      <c r="I7177" t="s">
        <v>150</v>
      </c>
      <c r="J7177" t="s">
        <v>579</v>
      </c>
      <c r="K7177" t="s">
        <v>69</v>
      </c>
      <c r="L7177">
        <v>8000484591</v>
      </c>
      <c r="N7177" t="s">
        <v>1031</v>
      </c>
    </row>
    <row r="7178" spans="3:14">
      <c r="C7178">
        <v>2100300025</v>
      </c>
      <c r="D7178">
        <v>6426000</v>
      </c>
      <c r="E7178" t="s">
        <v>188</v>
      </c>
      <c r="F7178">
        <v>5104010104</v>
      </c>
      <c r="G7178" s="13">
        <v>6595</v>
      </c>
      <c r="I7178" t="s">
        <v>150</v>
      </c>
      <c r="J7178" t="s">
        <v>929</v>
      </c>
      <c r="K7178" t="s">
        <v>69</v>
      </c>
      <c r="L7178">
        <v>8000480423</v>
      </c>
      <c r="N7178" t="s">
        <v>1031</v>
      </c>
    </row>
    <row r="7179" spans="3:14">
      <c r="C7179">
        <v>2100300025</v>
      </c>
      <c r="D7179">
        <v>6426000</v>
      </c>
      <c r="E7179" t="s">
        <v>188</v>
      </c>
      <c r="F7179">
        <v>5104010104</v>
      </c>
      <c r="G7179" s="13">
        <v>300000</v>
      </c>
      <c r="I7179" t="s">
        <v>150</v>
      </c>
      <c r="J7179" t="s">
        <v>832</v>
      </c>
      <c r="K7179" t="s">
        <v>69</v>
      </c>
      <c r="L7179">
        <v>8000510766</v>
      </c>
      <c r="N7179" t="s">
        <v>1031</v>
      </c>
    </row>
    <row r="7180" spans="3:14">
      <c r="C7180">
        <v>2100300025</v>
      </c>
      <c r="D7180">
        <v>6426000</v>
      </c>
      <c r="E7180" t="s">
        <v>188</v>
      </c>
      <c r="F7180">
        <v>5104010104</v>
      </c>
      <c r="G7180" s="13">
        <v>9926</v>
      </c>
      <c r="I7180" t="s">
        <v>150</v>
      </c>
      <c r="J7180" t="s">
        <v>1291</v>
      </c>
      <c r="K7180" t="s">
        <v>69</v>
      </c>
      <c r="L7180">
        <v>8000396069</v>
      </c>
      <c r="N7180" t="s">
        <v>1031</v>
      </c>
    </row>
    <row r="7181" spans="3:14">
      <c r="C7181">
        <v>2100300025</v>
      </c>
      <c r="D7181">
        <v>6426000</v>
      </c>
      <c r="E7181" t="s">
        <v>188</v>
      </c>
      <c r="F7181">
        <v>5104010104</v>
      </c>
      <c r="G7181" s="13">
        <v>12500</v>
      </c>
      <c r="I7181" t="s">
        <v>150</v>
      </c>
      <c r="J7181" t="s">
        <v>579</v>
      </c>
      <c r="K7181" t="s">
        <v>69</v>
      </c>
      <c r="L7181">
        <v>8000478076</v>
      </c>
      <c r="N7181" t="s">
        <v>1031</v>
      </c>
    </row>
    <row r="7182" spans="3:14">
      <c r="C7182">
        <v>2100300025</v>
      </c>
      <c r="D7182">
        <v>6426000</v>
      </c>
      <c r="E7182" t="s">
        <v>188</v>
      </c>
      <c r="F7182">
        <v>5104010104</v>
      </c>
      <c r="G7182" s="13">
        <v>69000</v>
      </c>
      <c r="I7182" t="s">
        <v>150</v>
      </c>
      <c r="J7182" t="s">
        <v>834</v>
      </c>
      <c r="K7182" t="s">
        <v>69</v>
      </c>
      <c r="L7182">
        <v>8000478079</v>
      </c>
      <c r="N7182" t="s">
        <v>1031</v>
      </c>
    </row>
    <row r="7183" spans="3:14">
      <c r="C7183">
        <v>2100300025</v>
      </c>
      <c r="D7183">
        <v>6426000</v>
      </c>
      <c r="E7183" t="s">
        <v>188</v>
      </c>
      <c r="F7183">
        <v>5104010104</v>
      </c>
      <c r="G7183">
        <v>719.32</v>
      </c>
      <c r="I7183" t="s">
        <v>150</v>
      </c>
      <c r="J7183" t="s">
        <v>1291</v>
      </c>
      <c r="K7183" t="s">
        <v>69</v>
      </c>
      <c r="L7183">
        <v>8000388723</v>
      </c>
      <c r="N7183" t="s">
        <v>1435</v>
      </c>
    </row>
    <row r="7184" spans="3:14">
      <c r="C7184">
        <v>2100300025</v>
      </c>
      <c r="D7184">
        <v>6426000</v>
      </c>
      <c r="E7184" t="s">
        <v>188</v>
      </c>
      <c r="F7184">
        <v>5104010104</v>
      </c>
      <c r="G7184" s="13">
        <v>15145</v>
      </c>
      <c r="I7184" t="s">
        <v>150</v>
      </c>
      <c r="J7184" t="s">
        <v>923</v>
      </c>
      <c r="K7184" t="s">
        <v>69</v>
      </c>
      <c r="L7184">
        <v>8000386622</v>
      </c>
      <c r="N7184" t="s">
        <v>1031</v>
      </c>
    </row>
    <row r="7185" spans="3:14">
      <c r="C7185">
        <v>2100300025</v>
      </c>
      <c r="D7185">
        <v>6426000</v>
      </c>
      <c r="E7185" t="s">
        <v>188</v>
      </c>
      <c r="F7185">
        <v>5104010104</v>
      </c>
      <c r="G7185" s="13">
        <v>37500</v>
      </c>
      <c r="I7185" t="s">
        <v>150</v>
      </c>
      <c r="J7185" t="s">
        <v>579</v>
      </c>
      <c r="K7185" t="s">
        <v>69</v>
      </c>
      <c r="L7185">
        <v>8000466944</v>
      </c>
      <c r="N7185" t="s">
        <v>1031</v>
      </c>
    </row>
    <row r="7186" spans="3:14">
      <c r="C7186">
        <v>2100300025</v>
      </c>
      <c r="D7186">
        <v>6426000</v>
      </c>
      <c r="E7186" t="s">
        <v>188</v>
      </c>
      <c r="F7186">
        <v>5104010104</v>
      </c>
      <c r="G7186" s="13">
        <v>-7873</v>
      </c>
      <c r="I7186" t="s">
        <v>150</v>
      </c>
      <c r="J7186" t="s">
        <v>836</v>
      </c>
      <c r="K7186" t="s">
        <v>69</v>
      </c>
      <c r="L7186">
        <v>8000514514</v>
      </c>
      <c r="N7186" t="s">
        <v>1031</v>
      </c>
    </row>
    <row r="7187" spans="3:14">
      <c r="C7187">
        <v>2100300025</v>
      </c>
      <c r="D7187">
        <v>6426000</v>
      </c>
      <c r="E7187" t="s">
        <v>188</v>
      </c>
      <c r="F7187">
        <v>5104010104</v>
      </c>
      <c r="G7187" s="13">
        <v>-36880</v>
      </c>
      <c r="I7187" t="s">
        <v>150</v>
      </c>
      <c r="J7187" t="s">
        <v>836</v>
      </c>
      <c r="K7187" t="s">
        <v>69</v>
      </c>
      <c r="L7187">
        <v>8000030659</v>
      </c>
      <c r="N7187" t="s">
        <v>1031</v>
      </c>
    </row>
    <row r="7188" spans="3:14">
      <c r="C7188">
        <v>2100300025</v>
      </c>
      <c r="D7188">
        <v>6426000</v>
      </c>
      <c r="E7188" t="s">
        <v>188</v>
      </c>
      <c r="F7188">
        <v>5104010104</v>
      </c>
      <c r="G7188" s="13">
        <v>-76442</v>
      </c>
      <c r="I7188" t="s">
        <v>150</v>
      </c>
      <c r="J7188" t="s">
        <v>937</v>
      </c>
      <c r="K7188" t="s">
        <v>69</v>
      </c>
      <c r="L7188">
        <v>8000550870</v>
      </c>
      <c r="N7188" t="s">
        <v>1031</v>
      </c>
    </row>
    <row r="7189" spans="3:14">
      <c r="C7189">
        <v>2100300025</v>
      </c>
      <c r="D7189">
        <v>6426000</v>
      </c>
      <c r="E7189" t="s">
        <v>188</v>
      </c>
      <c r="F7189">
        <v>5104010104</v>
      </c>
      <c r="G7189" s="13">
        <v>-42650</v>
      </c>
      <c r="I7189" t="s">
        <v>150</v>
      </c>
      <c r="J7189" t="s">
        <v>837</v>
      </c>
      <c r="K7189" t="s">
        <v>69</v>
      </c>
      <c r="L7189">
        <v>8000577217</v>
      </c>
      <c r="N7189" t="s">
        <v>1436</v>
      </c>
    </row>
    <row r="7190" spans="3:14">
      <c r="C7190">
        <v>2100300025</v>
      </c>
      <c r="D7190">
        <v>6426000</v>
      </c>
      <c r="E7190" t="s">
        <v>188</v>
      </c>
      <c r="F7190">
        <v>5104010104</v>
      </c>
      <c r="G7190" s="13">
        <v>-20400</v>
      </c>
      <c r="I7190" t="s">
        <v>150</v>
      </c>
      <c r="J7190" t="s">
        <v>933</v>
      </c>
      <c r="K7190" t="s">
        <v>69</v>
      </c>
      <c r="L7190">
        <v>8000579149</v>
      </c>
      <c r="N7190" t="s">
        <v>1031</v>
      </c>
    </row>
    <row r="7191" spans="3:14">
      <c r="C7191">
        <v>2100300025</v>
      </c>
      <c r="D7191">
        <v>6426000</v>
      </c>
      <c r="E7191" t="s">
        <v>188</v>
      </c>
      <c r="F7191">
        <v>5104010104</v>
      </c>
      <c r="G7191" s="13">
        <v>-11258</v>
      </c>
      <c r="I7191" t="s">
        <v>150</v>
      </c>
      <c r="J7191" t="s">
        <v>932</v>
      </c>
      <c r="K7191" t="s">
        <v>69</v>
      </c>
      <c r="L7191">
        <v>8000538215</v>
      </c>
      <c r="N7191" t="s">
        <v>1031</v>
      </c>
    </row>
    <row r="7192" spans="3:14">
      <c r="C7192">
        <v>2100300025</v>
      </c>
      <c r="D7192">
        <v>6426000</v>
      </c>
      <c r="E7192" t="s">
        <v>188</v>
      </c>
      <c r="F7192">
        <v>5104010104</v>
      </c>
      <c r="G7192" s="13">
        <v>-70000</v>
      </c>
      <c r="I7192" t="s">
        <v>150</v>
      </c>
      <c r="J7192" t="s">
        <v>936</v>
      </c>
      <c r="K7192" t="s">
        <v>69</v>
      </c>
      <c r="L7192">
        <v>8000563378</v>
      </c>
      <c r="N7192" t="s">
        <v>1031</v>
      </c>
    </row>
    <row r="7193" spans="3:14">
      <c r="C7193">
        <v>2100300025</v>
      </c>
      <c r="D7193">
        <v>6426000</v>
      </c>
      <c r="E7193" t="s">
        <v>188</v>
      </c>
      <c r="F7193">
        <v>5104010104</v>
      </c>
      <c r="G7193" s="13">
        <v>6641</v>
      </c>
      <c r="I7193" t="s">
        <v>150</v>
      </c>
      <c r="J7193" t="s">
        <v>933</v>
      </c>
      <c r="K7193" t="s">
        <v>69</v>
      </c>
      <c r="L7193">
        <v>8000524159</v>
      </c>
      <c r="N7193" t="s">
        <v>1031</v>
      </c>
    </row>
    <row r="7194" spans="3:14">
      <c r="C7194">
        <v>2100300025</v>
      </c>
      <c r="D7194">
        <v>6426000</v>
      </c>
      <c r="E7194" t="s">
        <v>188</v>
      </c>
      <c r="F7194">
        <v>5104010104</v>
      </c>
      <c r="G7194" s="13">
        <v>7300</v>
      </c>
      <c r="I7194" t="s">
        <v>150</v>
      </c>
      <c r="J7194" t="s">
        <v>931</v>
      </c>
      <c r="K7194" t="s">
        <v>69</v>
      </c>
      <c r="L7194">
        <v>8000521769</v>
      </c>
      <c r="N7194" t="s">
        <v>1031</v>
      </c>
    </row>
    <row r="7195" spans="3:14">
      <c r="C7195">
        <v>2100300025</v>
      </c>
      <c r="D7195">
        <v>6426000</v>
      </c>
      <c r="E7195" t="s">
        <v>188</v>
      </c>
      <c r="F7195">
        <v>5104010104</v>
      </c>
      <c r="G7195" s="13">
        <v>11665</v>
      </c>
      <c r="I7195" t="s">
        <v>150</v>
      </c>
      <c r="J7195" t="s">
        <v>931</v>
      </c>
      <c r="K7195" t="s">
        <v>69</v>
      </c>
      <c r="L7195">
        <v>8000521238</v>
      </c>
      <c r="N7195" t="s">
        <v>1031</v>
      </c>
    </row>
    <row r="7196" spans="3:14">
      <c r="C7196">
        <v>2100300025</v>
      </c>
      <c r="D7196">
        <v>6426000</v>
      </c>
      <c r="E7196" t="s">
        <v>188</v>
      </c>
      <c r="F7196">
        <v>5104010104</v>
      </c>
      <c r="G7196" s="13">
        <v>22320</v>
      </c>
      <c r="I7196" t="s">
        <v>150</v>
      </c>
      <c r="J7196" t="s">
        <v>834</v>
      </c>
      <c r="K7196" t="s">
        <v>69</v>
      </c>
      <c r="L7196">
        <v>8000521771</v>
      </c>
      <c r="N7196" t="s">
        <v>1031</v>
      </c>
    </row>
    <row r="7197" spans="3:14">
      <c r="C7197">
        <v>2100300025</v>
      </c>
      <c r="D7197">
        <v>6426000</v>
      </c>
      <c r="E7197" t="s">
        <v>188</v>
      </c>
      <c r="F7197">
        <v>5104010104</v>
      </c>
      <c r="G7197" s="13">
        <v>61320</v>
      </c>
      <c r="I7197" t="s">
        <v>150</v>
      </c>
      <c r="J7197" t="s">
        <v>931</v>
      </c>
      <c r="K7197" t="s">
        <v>69</v>
      </c>
      <c r="L7197">
        <v>8000521773</v>
      </c>
      <c r="N7197" t="s">
        <v>1031</v>
      </c>
    </row>
    <row r="7198" spans="3:14">
      <c r="C7198">
        <v>2100300025</v>
      </c>
      <c r="D7198">
        <v>6426000</v>
      </c>
      <c r="E7198" t="s">
        <v>188</v>
      </c>
      <c r="F7198">
        <v>5104010104</v>
      </c>
      <c r="G7198" s="13">
        <v>8607</v>
      </c>
      <c r="I7198" t="s">
        <v>150</v>
      </c>
      <c r="J7198" t="s">
        <v>931</v>
      </c>
      <c r="K7198" t="s">
        <v>69</v>
      </c>
      <c r="L7198">
        <v>8000521791</v>
      </c>
      <c r="N7198" t="s">
        <v>1031</v>
      </c>
    </row>
    <row r="7199" spans="3:14">
      <c r="C7199">
        <v>2100300025</v>
      </c>
      <c r="D7199">
        <v>6426000</v>
      </c>
      <c r="E7199" t="s">
        <v>188</v>
      </c>
      <c r="F7199">
        <v>5104010104</v>
      </c>
      <c r="G7199" s="13">
        <v>8537</v>
      </c>
      <c r="I7199" t="s">
        <v>150</v>
      </c>
      <c r="J7199" t="s">
        <v>931</v>
      </c>
      <c r="K7199" t="s">
        <v>69</v>
      </c>
      <c r="L7199">
        <v>8000521799</v>
      </c>
      <c r="N7199" t="s">
        <v>1031</v>
      </c>
    </row>
    <row r="7200" spans="3:14">
      <c r="C7200">
        <v>2100300025</v>
      </c>
      <c r="D7200">
        <v>6426000</v>
      </c>
      <c r="E7200" t="s">
        <v>188</v>
      </c>
      <c r="F7200">
        <v>5104010104</v>
      </c>
      <c r="G7200" s="13">
        <v>8840</v>
      </c>
      <c r="I7200" t="s">
        <v>150</v>
      </c>
      <c r="J7200" t="s">
        <v>931</v>
      </c>
      <c r="K7200" t="s">
        <v>69</v>
      </c>
      <c r="L7200">
        <v>8000522027</v>
      </c>
      <c r="N7200" t="s">
        <v>1031</v>
      </c>
    </row>
    <row r="7201" spans="3:14">
      <c r="C7201">
        <v>2100300025</v>
      </c>
      <c r="D7201">
        <v>6426000</v>
      </c>
      <c r="E7201" t="s">
        <v>188</v>
      </c>
      <c r="F7201">
        <v>5104010104</v>
      </c>
      <c r="G7201" s="13">
        <v>54000</v>
      </c>
      <c r="I7201" t="s">
        <v>150</v>
      </c>
      <c r="J7201" t="s">
        <v>836</v>
      </c>
      <c r="K7201" t="s">
        <v>69</v>
      </c>
      <c r="L7201">
        <v>8000508146</v>
      </c>
      <c r="N7201" t="s">
        <v>1031</v>
      </c>
    </row>
    <row r="7202" spans="3:14">
      <c r="C7202">
        <v>2100300025</v>
      </c>
      <c r="D7202">
        <v>6426000</v>
      </c>
      <c r="E7202" t="s">
        <v>188</v>
      </c>
      <c r="F7202">
        <v>5104010104</v>
      </c>
      <c r="G7202" s="13">
        <v>70000</v>
      </c>
      <c r="I7202" t="s">
        <v>150</v>
      </c>
      <c r="J7202" t="s">
        <v>836</v>
      </c>
      <c r="K7202" t="s">
        <v>69</v>
      </c>
      <c r="L7202">
        <v>8000510789</v>
      </c>
      <c r="N7202" t="s">
        <v>1031</v>
      </c>
    </row>
    <row r="7203" spans="3:14">
      <c r="C7203">
        <v>2100300025</v>
      </c>
      <c r="D7203">
        <v>6426000</v>
      </c>
      <c r="E7203" t="s">
        <v>188</v>
      </c>
      <c r="F7203">
        <v>5104010104</v>
      </c>
      <c r="G7203" s="13">
        <v>7873</v>
      </c>
      <c r="I7203" t="s">
        <v>150</v>
      </c>
      <c r="J7203" t="s">
        <v>836</v>
      </c>
      <c r="K7203" t="s">
        <v>69</v>
      </c>
      <c r="L7203">
        <v>8000511534</v>
      </c>
      <c r="N7203" t="s">
        <v>1031</v>
      </c>
    </row>
    <row r="7204" spans="3:14">
      <c r="C7204">
        <v>2100300025</v>
      </c>
      <c r="D7204">
        <v>6426000</v>
      </c>
      <c r="E7204" t="s">
        <v>188</v>
      </c>
      <c r="F7204">
        <v>5104010104</v>
      </c>
      <c r="G7204" s="13">
        <v>36880</v>
      </c>
      <c r="I7204" t="s">
        <v>150</v>
      </c>
      <c r="J7204" t="s">
        <v>836</v>
      </c>
      <c r="K7204" t="s">
        <v>69</v>
      </c>
      <c r="L7204">
        <v>8000511973</v>
      </c>
      <c r="N7204" t="s">
        <v>1031</v>
      </c>
    </row>
    <row r="7205" spans="3:14">
      <c r="C7205">
        <v>2100300025</v>
      </c>
      <c r="D7205">
        <v>6426000</v>
      </c>
      <c r="E7205" t="s">
        <v>188</v>
      </c>
      <c r="F7205">
        <v>5104010104</v>
      </c>
      <c r="G7205" s="13">
        <v>42650</v>
      </c>
      <c r="I7205" t="s">
        <v>150</v>
      </c>
      <c r="J7205" t="s">
        <v>837</v>
      </c>
      <c r="K7205" t="s">
        <v>69</v>
      </c>
      <c r="L7205">
        <v>8000551064</v>
      </c>
      <c r="N7205" t="s">
        <v>1436</v>
      </c>
    </row>
    <row r="7206" spans="3:14">
      <c r="C7206">
        <v>2100300025</v>
      </c>
      <c r="D7206">
        <v>6426000</v>
      </c>
      <c r="E7206" t="s">
        <v>188</v>
      </c>
      <c r="F7206">
        <v>5104010104</v>
      </c>
      <c r="G7206" s="13">
        <v>5080</v>
      </c>
      <c r="I7206" t="s">
        <v>150</v>
      </c>
      <c r="J7206" t="s">
        <v>937</v>
      </c>
      <c r="K7206" t="s">
        <v>69</v>
      </c>
      <c r="L7206">
        <v>8000580506</v>
      </c>
      <c r="N7206" t="s">
        <v>1031</v>
      </c>
    </row>
    <row r="7207" spans="3:14">
      <c r="C7207">
        <v>2100300025</v>
      </c>
      <c r="D7207">
        <v>6426000</v>
      </c>
      <c r="E7207" t="s">
        <v>188</v>
      </c>
      <c r="F7207">
        <v>5104010104</v>
      </c>
      <c r="G7207" s="13">
        <v>11418</v>
      </c>
      <c r="I7207" t="s">
        <v>150</v>
      </c>
      <c r="J7207" t="s">
        <v>932</v>
      </c>
      <c r="K7207" t="s">
        <v>69</v>
      </c>
      <c r="L7207">
        <v>8000537939</v>
      </c>
      <c r="N7207" t="s">
        <v>1031</v>
      </c>
    </row>
    <row r="7208" spans="3:14">
      <c r="C7208">
        <v>2100300025</v>
      </c>
      <c r="D7208">
        <v>6426000</v>
      </c>
      <c r="E7208" t="s">
        <v>188</v>
      </c>
      <c r="F7208">
        <v>5104010104</v>
      </c>
      <c r="G7208" s="13">
        <v>76442</v>
      </c>
      <c r="I7208" t="s">
        <v>150</v>
      </c>
      <c r="J7208" t="s">
        <v>937</v>
      </c>
      <c r="K7208" t="s">
        <v>69</v>
      </c>
      <c r="L7208">
        <v>8000536698</v>
      </c>
      <c r="N7208" t="s">
        <v>1031</v>
      </c>
    </row>
    <row r="7209" spans="3:14">
      <c r="C7209">
        <v>2100300025</v>
      </c>
      <c r="D7209">
        <v>6426000</v>
      </c>
      <c r="E7209" t="s">
        <v>188</v>
      </c>
      <c r="F7209">
        <v>5104010104</v>
      </c>
      <c r="G7209" s="13">
        <v>9202</v>
      </c>
      <c r="I7209" t="s">
        <v>150</v>
      </c>
      <c r="J7209" t="s">
        <v>934</v>
      </c>
      <c r="K7209" t="s">
        <v>69</v>
      </c>
      <c r="L7209">
        <v>8000603808</v>
      </c>
      <c r="N7209" t="s">
        <v>1031</v>
      </c>
    </row>
    <row r="7210" spans="3:14">
      <c r="C7210">
        <v>2100300025</v>
      </c>
      <c r="D7210">
        <v>6426000</v>
      </c>
      <c r="E7210" t="s">
        <v>188</v>
      </c>
      <c r="F7210">
        <v>5104010104</v>
      </c>
      <c r="G7210" s="13">
        <v>495600</v>
      </c>
      <c r="I7210" t="s">
        <v>150</v>
      </c>
      <c r="J7210" t="s">
        <v>937</v>
      </c>
      <c r="K7210" t="s">
        <v>69</v>
      </c>
      <c r="L7210">
        <v>8000532381</v>
      </c>
      <c r="N7210" t="s">
        <v>1031</v>
      </c>
    </row>
    <row r="7211" spans="3:14">
      <c r="C7211">
        <v>2100300025</v>
      </c>
      <c r="D7211">
        <v>6426000</v>
      </c>
      <c r="E7211" t="s">
        <v>188</v>
      </c>
      <c r="F7211">
        <v>5104010104</v>
      </c>
      <c r="G7211" s="13">
        <v>61320</v>
      </c>
      <c r="I7211" t="s">
        <v>150</v>
      </c>
      <c r="J7211" t="s">
        <v>834</v>
      </c>
      <c r="K7211" t="s">
        <v>69</v>
      </c>
      <c r="L7211">
        <v>8000534664</v>
      </c>
      <c r="N7211" t="s">
        <v>1031</v>
      </c>
    </row>
    <row r="7212" spans="3:14">
      <c r="C7212">
        <v>2100300025</v>
      </c>
      <c r="D7212">
        <v>6426000</v>
      </c>
      <c r="E7212" t="s">
        <v>188</v>
      </c>
      <c r="F7212">
        <v>5104010104</v>
      </c>
      <c r="G7212" s="13">
        <v>36500</v>
      </c>
      <c r="I7212" t="s">
        <v>150</v>
      </c>
      <c r="J7212" t="s">
        <v>838</v>
      </c>
      <c r="K7212" t="s">
        <v>69</v>
      </c>
      <c r="L7212">
        <v>8000567211</v>
      </c>
      <c r="N7212" t="s">
        <v>1031</v>
      </c>
    </row>
    <row r="7213" spans="3:14">
      <c r="C7213">
        <v>2100300025</v>
      </c>
      <c r="D7213">
        <v>6426000</v>
      </c>
      <c r="E7213" t="s">
        <v>188</v>
      </c>
      <c r="F7213">
        <v>5104010104</v>
      </c>
      <c r="G7213" s="13">
        <v>6888</v>
      </c>
      <c r="I7213" t="s">
        <v>150</v>
      </c>
      <c r="J7213" t="s">
        <v>581</v>
      </c>
      <c r="K7213" t="s">
        <v>69</v>
      </c>
      <c r="L7213">
        <v>8000603618</v>
      </c>
      <c r="N7213" t="s">
        <v>1031</v>
      </c>
    </row>
    <row r="7214" spans="3:14">
      <c r="C7214">
        <v>2100300025</v>
      </c>
      <c r="D7214">
        <v>6426000</v>
      </c>
      <c r="E7214" t="s">
        <v>188</v>
      </c>
      <c r="F7214">
        <v>5104010104</v>
      </c>
      <c r="G7214" s="13">
        <v>-46440</v>
      </c>
      <c r="I7214" t="s">
        <v>150</v>
      </c>
      <c r="J7214" t="s">
        <v>1203</v>
      </c>
      <c r="K7214" t="s">
        <v>69</v>
      </c>
      <c r="L7214">
        <v>8000663836</v>
      </c>
      <c r="N7214" t="s">
        <v>1031</v>
      </c>
    </row>
    <row r="7215" spans="3:14">
      <c r="C7215">
        <v>2100300025</v>
      </c>
      <c r="D7215">
        <v>6426000</v>
      </c>
      <c r="E7215" t="s">
        <v>188</v>
      </c>
      <c r="F7215">
        <v>5104010104</v>
      </c>
      <c r="G7215" s="13">
        <v>9070</v>
      </c>
      <c r="I7215" t="s">
        <v>150</v>
      </c>
      <c r="J7215" t="s">
        <v>942</v>
      </c>
      <c r="K7215" t="s">
        <v>69</v>
      </c>
      <c r="L7215">
        <v>8000630190</v>
      </c>
      <c r="N7215" t="s">
        <v>1031</v>
      </c>
    </row>
    <row r="7216" spans="3:14">
      <c r="C7216">
        <v>2100300025</v>
      </c>
      <c r="D7216">
        <v>6426000</v>
      </c>
      <c r="E7216" t="s">
        <v>188</v>
      </c>
      <c r="F7216">
        <v>5104010104</v>
      </c>
      <c r="G7216" s="13">
        <v>5000</v>
      </c>
      <c r="I7216" t="s">
        <v>150</v>
      </c>
      <c r="J7216" t="s">
        <v>843</v>
      </c>
      <c r="K7216" t="s">
        <v>69</v>
      </c>
      <c r="L7216">
        <v>8000672369</v>
      </c>
      <c r="N7216" t="s">
        <v>1031</v>
      </c>
    </row>
    <row r="7217" spans="3:14">
      <c r="C7217">
        <v>2100300025</v>
      </c>
      <c r="D7217">
        <v>6426000</v>
      </c>
      <c r="E7217" t="s">
        <v>188</v>
      </c>
      <c r="F7217">
        <v>5104010104</v>
      </c>
      <c r="G7217" s="13">
        <v>17160</v>
      </c>
      <c r="I7217" t="s">
        <v>150</v>
      </c>
      <c r="J7217" t="s">
        <v>944</v>
      </c>
      <c r="K7217" t="s">
        <v>69</v>
      </c>
      <c r="L7217">
        <v>8000694528</v>
      </c>
      <c r="N7217" t="s">
        <v>1031</v>
      </c>
    </row>
    <row r="7218" spans="3:14">
      <c r="C7218">
        <v>2100300025</v>
      </c>
      <c r="D7218">
        <v>6426000</v>
      </c>
      <c r="E7218" t="s">
        <v>188</v>
      </c>
      <c r="F7218">
        <v>5104010104</v>
      </c>
      <c r="G7218" s="13">
        <v>105000</v>
      </c>
      <c r="I7218" t="s">
        <v>150</v>
      </c>
      <c r="J7218" t="s">
        <v>1203</v>
      </c>
      <c r="K7218" t="s">
        <v>69</v>
      </c>
      <c r="L7218">
        <v>8000658310</v>
      </c>
      <c r="N7218" t="s">
        <v>1031</v>
      </c>
    </row>
    <row r="7219" spans="3:14">
      <c r="C7219">
        <v>2100300025</v>
      </c>
      <c r="D7219">
        <v>6426000</v>
      </c>
      <c r="E7219" t="s">
        <v>188</v>
      </c>
      <c r="F7219">
        <v>5104010104</v>
      </c>
      <c r="G7219" s="13">
        <v>-3600</v>
      </c>
      <c r="I7219" t="s">
        <v>150</v>
      </c>
      <c r="J7219" t="s">
        <v>849</v>
      </c>
      <c r="K7219" t="s">
        <v>69</v>
      </c>
      <c r="L7219">
        <v>8000783093</v>
      </c>
      <c r="N7219" t="s">
        <v>1437</v>
      </c>
    </row>
    <row r="7220" spans="3:14">
      <c r="C7220">
        <v>2100300025</v>
      </c>
      <c r="D7220">
        <v>6426000</v>
      </c>
      <c r="E7220" t="s">
        <v>188</v>
      </c>
      <c r="F7220">
        <v>5104010104</v>
      </c>
      <c r="G7220" s="13">
        <v>-19850</v>
      </c>
      <c r="I7220" t="s">
        <v>150</v>
      </c>
      <c r="J7220" t="s">
        <v>847</v>
      </c>
      <c r="K7220" t="s">
        <v>69</v>
      </c>
      <c r="L7220">
        <v>8000811077</v>
      </c>
      <c r="N7220" t="s">
        <v>1031</v>
      </c>
    </row>
    <row r="7221" spans="3:14">
      <c r="C7221">
        <v>2100300025</v>
      </c>
      <c r="D7221">
        <v>6426000</v>
      </c>
      <c r="E7221" t="s">
        <v>188</v>
      </c>
      <c r="F7221">
        <v>5104010104</v>
      </c>
      <c r="G7221" s="13">
        <v>-6000</v>
      </c>
      <c r="I7221" t="s">
        <v>150</v>
      </c>
      <c r="J7221" t="s">
        <v>951</v>
      </c>
      <c r="K7221" t="s">
        <v>69</v>
      </c>
      <c r="L7221">
        <v>8000850500</v>
      </c>
      <c r="N7221" t="s">
        <v>1031</v>
      </c>
    </row>
    <row r="7222" spans="3:14">
      <c r="C7222">
        <v>2100300025</v>
      </c>
      <c r="D7222">
        <v>6426000</v>
      </c>
      <c r="E7222" t="s">
        <v>188</v>
      </c>
      <c r="F7222">
        <v>5104010104</v>
      </c>
      <c r="G7222" s="13">
        <v>-8237</v>
      </c>
      <c r="I7222" t="s">
        <v>150</v>
      </c>
      <c r="J7222" t="s">
        <v>585</v>
      </c>
      <c r="K7222" t="s">
        <v>69</v>
      </c>
      <c r="L7222">
        <v>8000945291</v>
      </c>
      <c r="N7222" t="s">
        <v>1031</v>
      </c>
    </row>
    <row r="7223" spans="3:14">
      <c r="C7223">
        <v>2100300025</v>
      </c>
      <c r="D7223">
        <v>6426000</v>
      </c>
      <c r="E7223" t="s">
        <v>188</v>
      </c>
      <c r="F7223">
        <v>5104010104</v>
      </c>
      <c r="G7223" s="13">
        <v>8237</v>
      </c>
      <c r="I7223" t="s">
        <v>150</v>
      </c>
      <c r="J7223" t="s">
        <v>585</v>
      </c>
      <c r="K7223" t="s">
        <v>69</v>
      </c>
      <c r="L7223">
        <v>8000919962</v>
      </c>
      <c r="N7223" t="s">
        <v>1031</v>
      </c>
    </row>
    <row r="7224" spans="3:14">
      <c r="C7224">
        <v>2100300025</v>
      </c>
      <c r="D7224">
        <v>6426000</v>
      </c>
      <c r="E7224" t="s">
        <v>188</v>
      </c>
      <c r="F7224">
        <v>5104010104</v>
      </c>
      <c r="G7224" s="13">
        <v>10910</v>
      </c>
      <c r="I7224" t="s">
        <v>150</v>
      </c>
      <c r="J7224" t="s">
        <v>952</v>
      </c>
      <c r="K7224" t="s">
        <v>69</v>
      </c>
      <c r="L7224">
        <v>8000807017</v>
      </c>
      <c r="N7224" t="s">
        <v>1031</v>
      </c>
    </row>
    <row r="7225" spans="3:14">
      <c r="C7225">
        <v>2100300025</v>
      </c>
      <c r="D7225">
        <v>6426000</v>
      </c>
      <c r="E7225" t="s">
        <v>188</v>
      </c>
      <c r="F7225">
        <v>5104010104</v>
      </c>
      <c r="G7225" s="13">
        <v>21500</v>
      </c>
      <c r="I7225" t="s">
        <v>150</v>
      </c>
      <c r="J7225" t="s">
        <v>952</v>
      </c>
      <c r="K7225" t="s">
        <v>69</v>
      </c>
      <c r="L7225">
        <v>8000807020</v>
      </c>
      <c r="N7225" t="s">
        <v>1031</v>
      </c>
    </row>
    <row r="7226" spans="3:14">
      <c r="C7226">
        <v>2100300025</v>
      </c>
      <c r="D7226">
        <v>6426000</v>
      </c>
      <c r="E7226" t="s">
        <v>188</v>
      </c>
      <c r="F7226">
        <v>5104010104</v>
      </c>
      <c r="G7226" s="13">
        <v>40000</v>
      </c>
      <c r="I7226" t="s">
        <v>150</v>
      </c>
      <c r="J7226" t="s">
        <v>956</v>
      </c>
      <c r="K7226" t="s">
        <v>69</v>
      </c>
      <c r="L7226">
        <v>8000872356</v>
      </c>
      <c r="N7226" t="s">
        <v>1031</v>
      </c>
    </row>
    <row r="7227" spans="3:14">
      <c r="C7227">
        <v>2100300025</v>
      </c>
      <c r="D7227">
        <v>6426000</v>
      </c>
      <c r="E7227" t="s">
        <v>188</v>
      </c>
      <c r="F7227">
        <v>5104010104</v>
      </c>
      <c r="G7227" s="13">
        <v>46440</v>
      </c>
      <c r="I7227" t="s">
        <v>150</v>
      </c>
      <c r="J7227" t="s">
        <v>1203</v>
      </c>
      <c r="K7227" t="s">
        <v>69</v>
      </c>
      <c r="L7227">
        <v>8000653211</v>
      </c>
      <c r="N7227" t="s">
        <v>1031</v>
      </c>
    </row>
    <row r="7228" spans="3:14">
      <c r="C7228">
        <v>2100300025</v>
      </c>
      <c r="D7228">
        <v>6426000</v>
      </c>
      <c r="E7228" t="s">
        <v>188</v>
      </c>
      <c r="F7228">
        <v>5104010104</v>
      </c>
      <c r="G7228" s="13">
        <v>497500</v>
      </c>
      <c r="I7228" t="s">
        <v>150</v>
      </c>
      <c r="J7228" t="s">
        <v>1345</v>
      </c>
      <c r="K7228" t="s">
        <v>69</v>
      </c>
      <c r="L7228">
        <v>8000807004</v>
      </c>
      <c r="N7228" t="s">
        <v>1031</v>
      </c>
    </row>
    <row r="7229" spans="3:14">
      <c r="C7229">
        <v>2100300025</v>
      </c>
      <c r="D7229">
        <v>6426000</v>
      </c>
      <c r="E7229" t="s">
        <v>188</v>
      </c>
      <c r="F7229">
        <v>5104010104</v>
      </c>
      <c r="G7229" s="13">
        <v>11200</v>
      </c>
      <c r="I7229" t="s">
        <v>150</v>
      </c>
      <c r="J7229" t="s">
        <v>962</v>
      </c>
      <c r="K7229" t="s">
        <v>69</v>
      </c>
      <c r="L7229">
        <v>8001027099</v>
      </c>
      <c r="N7229" t="s">
        <v>1031</v>
      </c>
    </row>
    <row r="7230" spans="3:14">
      <c r="C7230">
        <v>2100300025</v>
      </c>
      <c r="D7230">
        <v>6426000</v>
      </c>
      <c r="E7230" t="s">
        <v>188</v>
      </c>
      <c r="F7230">
        <v>5104010104</v>
      </c>
      <c r="G7230" s="13">
        <v>175500</v>
      </c>
      <c r="I7230" t="s">
        <v>150</v>
      </c>
      <c r="J7230" t="s">
        <v>965</v>
      </c>
      <c r="K7230" t="s">
        <v>69</v>
      </c>
      <c r="L7230">
        <v>8000999332</v>
      </c>
      <c r="N7230" t="s">
        <v>1031</v>
      </c>
    </row>
    <row r="7231" spans="3:14">
      <c r="C7231">
        <v>2100300025</v>
      </c>
      <c r="D7231">
        <v>6426000</v>
      </c>
      <c r="E7231" t="s">
        <v>188</v>
      </c>
      <c r="F7231">
        <v>5104010104</v>
      </c>
      <c r="G7231" s="13">
        <v>-7120</v>
      </c>
      <c r="I7231" t="s">
        <v>150</v>
      </c>
      <c r="J7231" t="s">
        <v>1355</v>
      </c>
      <c r="K7231" t="s">
        <v>69</v>
      </c>
      <c r="L7231">
        <v>8001351253</v>
      </c>
      <c r="N7231" t="s">
        <v>1031</v>
      </c>
    </row>
    <row r="7232" spans="3:14">
      <c r="C7232">
        <v>2100300025</v>
      </c>
      <c r="D7232">
        <v>6426000</v>
      </c>
      <c r="E7232" t="s">
        <v>188</v>
      </c>
      <c r="F7232">
        <v>5104010104</v>
      </c>
      <c r="G7232" s="13">
        <v>86250</v>
      </c>
      <c r="I7232" t="s">
        <v>150</v>
      </c>
      <c r="J7232" t="s">
        <v>589</v>
      </c>
      <c r="K7232" t="s">
        <v>69</v>
      </c>
      <c r="L7232">
        <v>8001310864</v>
      </c>
      <c r="N7232" t="s">
        <v>1031</v>
      </c>
    </row>
    <row r="7233" spans="3:14">
      <c r="C7233">
        <v>2100300025</v>
      </c>
      <c r="D7233">
        <v>6426000</v>
      </c>
      <c r="E7233" t="s">
        <v>188</v>
      </c>
      <c r="F7233">
        <v>5104010104</v>
      </c>
      <c r="G7233" s="13">
        <v>70000</v>
      </c>
      <c r="I7233" t="s">
        <v>150</v>
      </c>
      <c r="J7233" t="s">
        <v>936</v>
      </c>
      <c r="K7233" t="s">
        <v>69</v>
      </c>
      <c r="L7233">
        <v>8000544661</v>
      </c>
      <c r="N7233" t="s">
        <v>1031</v>
      </c>
    </row>
    <row r="7234" spans="3:14">
      <c r="C7234">
        <v>2100300025</v>
      </c>
      <c r="D7234">
        <v>6426000</v>
      </c>
      <c r="E7234" t="s">
        <v>188</v>
      </c>
      <c r="F7234">
        <v>5104010104</v>
      </c>
      <c r="G7234" s="13">
        <v>75000</v>
      </c>
      <c r="I7234" t="s">
        <v>150</v>
      </c>
      <c r="J7234" t="s">
        <v>581</v>
      </c>
      <c r="K7234" t="s">
        <v>69</v>
      </c>
      <c r="L7234">
        <v>8000590044</v>
      </c>
      <c r="N7234" t="s">
        <v>1031</v>
      </c>
    </row>
    <row r="7235" spans="3:14">
      <c r="C7235">
        <v>2100300025</v>
      </c>
      <c r="D7235">
        <v>6426000</v>
      </c>
      <c r="E7235" t="s">
        <v>188</v>
      </c>
      <c r="F7235">
        <v>5104010104</v>
      </c>
      <c r="G7235" s="13">
        <v>5136</v>
      </c>
      <c r="I7235" t="s">
        <v>150</v>
      </c>
      <c r="J7235" t="s">
        <v>937</v>
      </c>
      <c r="K7235" t="s">
        <v>69</v>
      </c>
      <c r="L7235">
        <v>8000576800</v>
      </c>
      <c r="N7235" t="s">
        <v>1031</v>
      </c>
    </row>
    <row r="7236" spans="3:14">
      <c r="C7236">
        <v>2100300025</v>
      </c>
      <c r="D7236">
        <v>6426000</v>
      </c>
      <c r="E7236" t="s">
        <v>188</v>
      </c>
      <c r="F7236">
        <v>5104010104</v>
      </c>
      <c r="G7236" s="13">
        <v>6420</v>
      </c>
      <c r="I7236" t="s">
        <v>150</v>
      </c>
      <c r="J7236" t="s">
        <v>936</v>
      </c>
      <c r="K7236" t="s">
        <v>69</v>
      </c>
      <c r="L7236">
        <v>8000537620</v>
      </c>
      <c r="N7236" t="s">
        <v>1031</v>
      </c>
    </row>
    <row r="7237" spans="3:14">
      <c r="C7237">
        <v>2100300025</v>
      </c>
      <c r="D7237">
        <v>6426000</v>
      </c>
      <c r="E7237" t="s">
        <v>188</v>
      </c>
      <c r="F7237">
        <v>5104010104</v>
      </c>
      <c r="G7237" s="13">
        <v>20400</v>
      </c>
      <c r="I7237" t="s">
        <v>150</v>
      </c>
      <c r="J7237" t="s">
        <v>933</v>
      </c>
      <c r="K7237" t="s">
        <v>69</v>
      </c>
      <c r="L7237">
        <v>8000569282</v>
      </c>
      <c r="N7237" t="s">
        <v>1031</v>
      </c>
    </row>
    <row r="7238" spans="3:14">
      <c r="C7238">
        <v>2100300025</v>
      </c>
      <c r="D7238">
        <v>6426000</v>
      </c>
      <c r="E7238" t="s">
        <v>188</v>
      </c>
      <c r="F7238">
        <v>5104010104</v>
      </c>
      <c r="G7238" s="13">
        <v>5080</v>
      </c>
      <c r="I7238" t="s">
        <v>150</v>
      </c>
      <c r="J7238" t="s">
        <v>838</v>
      </c>
      <c r="K7238" t="s">
        <v>69</v>
      </c>
      <c r="L7238">
        <v>8000567206</v>
      </c>
      <c r="N7238" t="s">
        <v>1031</v>
      </c>
    </row>
    <row r="7239" spans="3:14">
      <c r="C7239">
        <v>2100300025</v>
      </c>
      <c r="D7239">
        <v>6426000</v>
      </c>
      <c r="E7239" t="s">
        <v>188</v>
      </c>
      <c r="F7239">
        <v>5104010104</v>
      </c>
      <c r="G7239" s="13">
        <v>9000</v>
      </c>
      <c r="I7239" t="s">
        <v>150</v>
      </c>
      <c r="J7239" t="s">
        <v>581</v>
      </c>
      <c r="K7239" t="s">
        <v>69</v>
      </c>
      <c r="L7239">
        <v>8000602526</v>
      </c>
      <c r="N7239" t="s">
        <v>1031</v>
      </c>
    </row>
    <row r="7240" spans="3:14">
      <c r="C7240">
        <v>2100300025</v>
      </c>
      <c r="D7240">
        <v>6426000</v>
      </c>
      <c r="E7240" t="s">
        <v>188</v>
      </c>
      <c r="F7240">
        <v>5104010104</v>
      </c>
      <c r="G7240" s="13">
        <v>6750</v>
      </c>
      <c r="I7240" t="s">
        <v>150</v>
      </c>
      <c r="J7240" t="s">
        <v>581</v>
      </c>
      <c r="K7240" t="s">
        <v>69</v>
      </c>
      <c r="L7240">
        <v>8000599805</v>
      </c>
      <c r="N7240" t="s">
        <v>1031</v>
      </c>
    </row>
    <row r="7241" spans="3:14">
      <c r="C7241">
        <v>2100300025</v>
      </c>
      <c r="D7241">
        <v>6426000</v>
      </c>
      <c r="E7241" t="s">
        <v>188</v>
      </c>
      <c r="F7241">
        <v>5104010104</v>
      </c>
      <c r="G7241" s="13">
        <v>24000</v>
      </c>
      <c r="I7241" t="s">
        <v>150</v>
      </c>
      <c r="J7241" t="s">
        <v>934</v>
      </c>
      <c r="K7241" t="s">
        <v>69</v>
      </c>
      <c r="L7241">
        <v>8000621872</v>
      </c>
      <c r="N7241" t="s">
        <v>1031</v>
      </c>
    </row>
    <row r="7242" spans="3:14">
      <c r="C7242">
        <v>2100300025</v>
      </c>
      <c r="D7242">
        <v>6426000</v>
      </c>
      <c r="E7242" t="s">
        <v>188</v>
      </c>
      <c r="F7242">
        <v>5104010104</v>
      </c>
      <c r="G7242" s="13">
        <v>-17160</v>
      </c>
      <c r="I7242" t="s">
        <v>150</v>
      </c>
      <c r="J7242" t="s">
        <v>944</v>
      </c>
      <c r="K7242" t="s">
        <v>69</v>
      </c>
      <c r="L7242">
        <v>8000717118</v>
      </c>
      <c r="N7242" t="s">
        <v>1031</v>
      </c>
    </row>
    <row r="7243" spans="3:14">
      <c r="C7243">
        <v>2100300025</v>
      </c>
      <c r="D7243">
        <v>6426000</v>
      </c>
      <c r="E7243" t="s">
        <v>188</v>
      </c>
      <c r="F7243">
        <v>5104010104</v>
      </c>
      <c r="G7243" s="13">
        <v>-12397</v>
      </c>
      <c r="I7243" t="s">
        <v>150</v>
      </c>
      <c r="J7243" t="s">
        <v>583</v>
      </c>
      <c r="K7243" t="s">
        <v>69</v>
      </c>
      <c r="L7243">
        <v>8000783053</v>
      </c>
      <c r="N7243" t="s">
        <v>1031</v>
      </c>
    </row>
    <row r="7244" spans="3:14">
      <c r="C7244">
        <v>2100300025</v>
      </c>
      <c r="D7244">
        <v>6426000</v>
      </c>
      <c r="E7244" t="s">
        <v>188</v>
      </c>
      <c r="F7244">
        <v>5104010104</v>
      </c>
      <c r="G7244" s="13">
        <v>185000</v>
      </c>
      <c r="I7244" t="s">
        <v>150</v>
      </c>
      <c r="J7244" t="s">
        <v>1203</v>
      </c>
      <c r="K7244" t="s">
        <v>69</v>
      </c>
      <c r="L7244">
        <v>8000653172</v>
      </c>
      <c r="N7244" t="s">
        <v>1031</v>
      </c>
    </row>
    <row r="7245" spans="3:14">
      <c r="C7245">
        <v>2100300025</v>
      </c>
      <c r="D7245">
        <v>6426000</v>
      </c>
      <c r="E7245" t="s">
        <v>188</v>
      </c>
      <c r="F7245">
        <v>5104010104</v>
      </c>
      <c r="G7245" s="13">
        <v>83000</v>
      </c>
      <c r="I7245" t="s">
        <v>150</v>
      </c>
      <c r="J7245" t="s">
        <v>942</v>
      </c>
      <c r="K7245" t="s">
        <v>69</v>
      </c>
      <c r="L7245">
        <v>8000630694</v>
      </c>
      <c r="N7245" t="s">
        <v>1031</v>
      </c>
    </row>
    <row r="7246" spans="3:14">
      <c r="C7246">
        <v>2100300025</v>
      </c>
      <c r="D7246">
        <v>6426000</v>
      </c>
      <c r="E7246" t="s">
        <v>188</v>
      </c>
      <c r="F7246">
        <v>5104010104</v>
      </c>
      <c r="G7246" s="13">
        <v>6300</v>
      </c>
      <c r="I7246" t="s">
        <v>150</v>
      </c>
      <c r="J7246" t="s">
        <v>944</v>
      </c>
      <c r="K7246" t="s">
        <v>69</v>
      </c>
      <c r="L7246">
        <v>8000689310</v>
      </c>
      <c r="N7246" t="s">
        <v>1031</v>
      </c>
    </row>
    <row r="7247" spans="3:14">
      <c r="C7247">
        <v>2100300025</v>
      </c>
      <c r="D7247">
        <v>6426000</v>
      </c>
      <c r="E7247" t="s">
        <v>188</v>
      </c>
      <c r="F7247">
        <v>5104010104</v>
      </c>
      <c r="G7247" s="13">
        <v>70000</v>
      </c>
      <c r="I7247" t="s">
        <v>150</v>
      </c>
      <c r="J7247" t="s">
        <v>842</v>
      </c>
      <c r="K7247" t="s">
        <v>69</v>
      </c>
      <c r="L7247">
        <v>8000714098</v>
      </c>
      <c r="N7247" t="s">
        <v>1031</v>
      </c>
    </row>
    <row r="7248" spans="3:14">
      <c r="C7248">
        <v>2100300025</v>
      </c>
      <c r="D7248">
        <v>6426000</v>
      </c>
      <c r="E7248" t="s">
        <v>188</v>
      </c>
      <c r="F7248">
        <v>5104010104</v>
      </c>
      <c r="G7248" s="13">
        <v>66000</v>
      </c>
      <c r="I7248" t="s">
        <v>150</v>
      </c>
      <c r="J7248" t="s">
        <v>842</v>
      </c>
      <c r="K7248" t="s">
        <v>69</v>
      </c>
      <c r="L7248">
        <v>8000717736</v>
      </c>
      <c r="N7248" t="s">
        <v>1031</v>
      </c>
    </row>
    <row r="7249" spans="3:14">
      <c r="C7249">
        <v>2100300025</v>
      </c>
      <c r="D7249">
        <v>6426000</v>
      </c>
      <c r="E7249" t="s">
        <v>188</v>
      </c>
      <c r="F7249">
        <v>5104010104</v>
      </c>
      <c r="G7249" s="13">
        <v>9500</v>
      </c>
      <c r="I7249" t="s">
        <v>150</v>
      </c>
      <c r="J7249" t="s">
        <v>943</v>
      </c>
      <c r="K7249" t="s">
        <v>69</v>
      </c>
      <c r="L7249">
        <v>8000603697</v>
      </c>
      <c r="N7249" t="s">
        <v>1031</v>
      </c>
    </row>
    <row r="7250" spans="3:14">
      <c r="C7250">
        <v>2100300025</v>
      </c>
      <c r="D7250">
        <v>6426000</v>
      </c>
      <c r="E7250" t="s">
        <v>188</v>
      </c>
      <c r="F7250">
        <v>5104010104</v>
      </c>
      <c r="G7250" s="13">
        <v>7738</v>
      </c>
      <c r="I7250" t="s">
        <v>150</v>
      </c>
      <c r="J7250" t="s">
        <v>841</v>
      </c>
      <c r="K7250" t="s">
        <v>69</v>
      </c>
      <c r="L7250">
        <v>8000678659</v>
      </c>
      <c r="N7250" t="s">
        <v>1031</v>
      </c>
    </row>
    <row r="7251" spans="3:14">
      <c r="C7251">
        <v>2100300025</v>
      </c>
      <c r="D7251">
        <v>6426000</v>
      </c>
      <c r="E7251" t="s">
        <v>188</v>
      </c>
      <c r="F7251">
        <v>5104010104</v>
      </c>
      <c r="G7251" s="13">
        <v>5000</v>
      </c>
      <c r="I7251" t="s">
        <v>150</v>
      </c>
      <c r="J7251" t="s">
        <v>941</v>
      </c>
      <c r="K7251" t="s">
        <v>69</v>
      </c>
      <c r="L7251">
        <v>8000674015</v>
      </c>
      <c r="N7251" t="s">
        <v>1031</v>
      </c>
    </row>
    <row r="7252" spans="3:14">
      <c r="C7252">
        <v>2100300025</v>
      </c>
      <c r="D7252">
        <v>6426000</v>
      </c>
      <c r="E7252" t="s">
        <v>188</v>
      </c>
      <c r="F7252">
        <v>5104010104</v>
      </c>
      <c r="G7252" s="13">
        <v>75756</v>
      </c>
      <c r="I7252" t="s">
        <v>150</v>
      </c>
      <c r="J7252" t="s">
        <v>1270</v>
      </c>
      <c r="K7252" t="s">
        <v>69</v>
      </c>
      <c r="L7252">
        <v>8000730094</v>
      </c>
      <c r="N7252" t="s">
        <v>1031</v>
      </c>
    </row>
    <row r="7253" spans="3:14">
      <c r="C7253">
        <v>2100300025</v>
      </c>
      <c r="D7253">
        <v>6426000</v>
      </c>
      <c r="E7253" t="s">
        <v>188</v>
      </c>
      <c r="F7253">
        <v>5104010104</v>
      </c>
      <c r="G7253" s="13">
        <v>30000</v>
      </c>
      <c r="I7253" t="s">
        <v>150</v>
      </c>
      <c r="J7253" t="s">
        <v>1270</v>
      </c>
      <c r="K7253" t="s">
        <v>69</v>
      </c>
      <c r="L7253">
        <v>8000730098</v>
      </c>
      <c r="N7253" t="s">
        <v>1031</v>
      </c>
    </row>
    <row r="7254" spans="3:14">
      <c r="C7254">
        <v>2100300025</v>
      </c>
      <c r="D7254">
        <v>6426000</v>
      </c>
      <c r="E7254" t="s">
        <v>188</v>
      </c>
      <c r="F7254">
        <v>5104010104</v>
      </c>
      <c r="G7254" s="13">
        <v>36650</v>
      </c>
      <c r="I7254" t="s">
        <v>150</v>
      </c>
      <c r="J7254" t="s">
        <v>1270</v>
      </c>
      <c r="K7254" t="s">
        <v>69</v>
      </c>
      <c r="L7254">
        <v>8000730305</v>
      </c>
      <c r="N7254" t="s">
        <v>1031</v>
      </c>
    </row>
    <row r="7255" spans="3:14">
      <c r="C7255">
        <v>2100300025</v>
      </c>
      <c r="D7255">
        <v>6426000</v>
      </c>
      <c r="E7255" t="s">
        <v>188</v>
      </c>
      <c r="F7255">
        <v>5104010104</v>
      </c>
      <c r="G7255" s="13">
        <v>43750</v>
      </c>
      <c r="I7255" t="s">
        <v>150</v>
      </c>
      <c r="J7255" t="s">
        <v>1270</v>
      </c>
      <c r="K7255" t="s">
        <v>69</v>
      </c>
      <c r="L7255">
        <v>8000727752</v>
      </c>
      <c r="N7255" t="s">
        <v>1031</v>
      </c>
    </row>
    <row r="7256" spans="3:14">
      <c r="C7256">
        <v>2100300025</v>
      </c>
      <c r="D7256">
        <v>6426000</v>
      </c>
      <c r="E7256" t="s">
        <v>188</v>
      </c>
      <c r="F7256">
        <v>5104010104</v>
      </c>
      <c r="G7256" s="13">
        <v>300000</v>
      </c>
      <c r="I7256" t="s">
        <v>150</v>
      </c>
      <c r="J7256" t="s">
        <v>1270</v>
      </c>
      <c r="K7256" t="s">
        <v>69</v>
      </c>
      <c r="L7256">
        <v>8000727760</v>
      </c>
      <c r="N7256" t="s">
        <v>1438</v>
      </c>
    </row>
    <row r="7257" spans="3:14">
      <c r="C7257">
        <v>2100300025</v>
      </c>
      <c r="D7257">
        <v>6426000</v>
      </c>
      <c r="E7257" t="s">
        <v>188</v>
      </c>
      <c r="F7257">
        <v>5104010104</v>
      </c>
      <c r="G7257" s="13">
        <v>13200</v>
      </c>
      <c r="I7257" t="s">
        <v>150</v>
      </c>
      <c r="J7257" t="s">
        <v>1270</v>
      </c>
      <c r="K7257" t="s">
        <v>69</v>
      </c>
      <c r="L7257">
        <v>8000728989</v>
      </c>
      <c r="N7257" t="s">
        <v>1031</v>
      </c>
    </row>
    <row r="7258" spans="3:14">
      <c r="C7258">
        <v>2100300025</v>
      </c>
      <c r="D7258">
        <v>6426000</v>
      </c>
      <c r="E7258" t="s">
        <v>188</v>
      </c>
      <c r="F7258">
        <v>5104010104</v>
      </c>
      <c r="G7258" s="13">
        <v>27360</v>
      </c>
      <c r="I7258" t="s">
        <v>150</v>
      </c>
      <c r="J7258" t="s">
        <v>1203</v>
      </c>
      <c r="K7258" t="s">
        <v>69</v>
      </c>
      <c r="L7258">
        <v>8000657439</v>
      </c>
      <c r="N7258" t="s">
        <v>1031</v>
      </c>
    </row>
    <row r="7259" spans="3:14">
      <c r="C7259">
        <v>2100300025</v>
      </c>
      <c r="D7259">
        <v>6426000</v>
      </c>
      <c r="E7259" t="s">
        <v>188</v>
      </c>
      <c r="F7259">
        <v>5104010104</v>
      </c>
      <c r="G7259" s="13">
        <v>98580</v>
      </c>
      <c r="I7259" t="s">
        <v>150</v>
      </c>
      <c r="J7259" t="s">
        <v>1203</v>
      </c>
      <c r="K7259" t="s">
        <v>69</v>
      </c>
      <c r="L7259">
        <v>8000659316</v>
      </c>
      <c r="N7259" t="s">
        <v>1031</v>
      </c>
    </row>
    <row r="7260" spans="3:14">
      <c r="C7260">
        <v>2100300025</v>
      </c>
      <c r="D7260">
        <v>6426000</v>
      </c>
      <c r="E7260" t="s">
        <v>188</v>
      </c>
      <c r="F7260">
        <v>5104010104</v>
      </c>
      <c r="G7260" s="13">
        <v>21000</v>
      </c>
      <c r="I7260" t="s">
        <v>150</v>
      </c>
      <c r="J7260" t="s">
        <v>941</v>
      </c>
      <c r="K7260" t="s">
        <v>69</v>
      </c>
      <c r="L7260">
        <v>8000659692</v>
      </c>
      <c r="N7260" t="s">
        <v>1031</v>
      </c>
    </row>
    <row r="7261" spans="3:14">
      <c r="C7261">
        <v>2100300025</v>
      </c>
      <c r="D7261">
        <v>6426000</v>
      </c>
      <c r="E7261" t="s">
        <v>188</v>
      </c>
      <c r="F7261">
        <v>5104010104</v>
      </c>
      <c r="G7261" s="13">
        <v>76700</v>
      </c>
      <c r="I7261" t="s">
        <v>150</v>
      </c>
      <c r="J7261" t="s">
        <v>944</v>
      </c>
      <c r="K7261" t="s">
        <v>69</v>
      </c>
      <c r="L7261">
        <v>8000694207</v>
      </c>
      <c r="N7261" t="s">
        <v>1031</v>
      </c>
    </row>
    <row r="7262" spans="3:14">
      <c r="C7262">
        <v>2100300025</v>
      </c>
      <c r="D7262">
        <v>6426000</v>
      </c>
      <c r="E7262" t="s">
        <v>188</v>
      </c>
      <c r="F7262">
        <v>5104010104</v>
      </c>
      <c r="G7262" s="13">
        <v>-8902.4</v>
      </c>
      <c r="I7262" t="s">
        <v>150</v>
      </c>
      <c r="J7262" t="s">
        <v>954</v>
      </c>
      <c r="K7262" t="s">
        <v>69</v>
      </c>
      <c r="L7262">
        <v>8000806465</v>
      </c>
      <c r="N7262" t="s">
        <v>1031</v>
      </c>
    </row>
    <row r="7263" spans="3:14">
      <c r="C7263">
        <v>2100300025</v>
      </c>
      <c r="D7263">
        <v>6426000</v>
      </c>
      <c r="E7263" t="s">
        <v>188</v>
      </c>
      <c r="F7263">
        <v>5104010104</v>
      </c>
      <c r="G7263" s="13">
        <v>3600</v>
      </c>
      <c r="I7263" t="s">
        <v>150</v>
      </c>
      <c r="J7263" t="s">
        <v>849</v>
      </c>
      <c r="K7263" t="s">
        <v>69</v>
      </c>
      <c r="L7263">
        <v>8000755748</v>
      </c>
      <c r="N7263" t="s">
        <v>1437</v>
      </c>
    </row>
    <row r="7264" spans="3:14">
      <c r="C7264">
        <v>2100300025</v>
      </c>
      <c r="D7264">
        <v>6426000</v>
      </c>
      <c r="E7264" t="s">
        <v>188</v>
      </c>
      <c r="F7264">
        <v>5104010104</v>
      </c>
      <c r="G7264" s="13">
        <v>8119</v>
      </c>
      <c r="I7264" t="s">
        <v>150</v>
      </c>
      <c r="J7264" t="s">
        <v>1277</v>
      </c>
      <c r="K7264" t="s">
        <v>69</v>
      </c>
      <c r="L7264">
        <v>8000818670</v>
      </c>
      <c r="N7264" t="s">
        <v>1031</v>
      </c>
    </row>
    <row r="7265" spans="3:14">
      <c r="C7265">
        <v>2100300025</v>
      </c>
      <c r="D7265">
        <v>6426000</v>
      </c>
      <c r="E7265" t="s">
        <v>188</v>
      </c>
      <c r="F7265">
        <v>5104010104</v>
      </c>
      <c r="G7265" s="13">
        <v>19850</v>
      </c>
      <c r="I7265" t="s">
        <v>150</v>
      </c>
      <c r="J7265" t="s">
        <v>847</v>
      </c>
      <c r="K7265" t="s">
        <v>69</v>
      </c>
      <c r="L7265">
        <v>8000766916</v>
      </c>
      <c r="N7265" t="s">
        <v>1031</v>
      </c>
    </row>
    <row r="7266" spans="3:14">
      <c r="C7266">
        <v>2100300025</v>
      </c>
      <c r="D7266">
        <v>6426000</v>
      </c>
      <c r="E7266" t="s">
        <v>188</v>
      </c>
      <c r="F7266">
        <v>5104010104</v>
      </c>
      <c r="G7266" s="13">
        <v>16800</v>
      </c>
      <c r="I7266" t="s">
        <v>150</v>
      </c>
      <c r="J7266" t="s">
        <v>847</v>
      </c>
      <c r="K7266" t="s">
        <v>69</v>
      </c>
      <c r="L7266">
        <v>8000767230</v>
      </c>
      <c r="N7266" t="s">
        <v>1031</v>
      </c>
    </row>
    <row r="7267" spans="3:14">
      <c r="C7267">
        <v>2100300025</v>
      </c>
      <c r="D7267">
        <v>6426000</v>
      </c>
      <c r="E7267" t="s">
        <v>188</v>
      </c>
      <c r="F7267">
        <v>5104010104</v>
      </c>
      <c r="G7267" s="13">
        <v>6000</v>
      </c>
      <c r="I7267" t="s">
        <v>150</v>
      </c>
      <c r="J7267" t="s">
        <v>1345</v>
      </c>
      <c r="K7267" t="s">
        <v>69</v>
      </c>
      <c r="L7267">
        <v>8000806103</v>
      </c>
      <c r="N7267" t="s">
        <v>1031</v>
      </c>
    </row>
    <row r="7268" spans="3:14">
      <c r="C7268">
        <v>2100300025</v>
      </c>
      <c r="D7268">
        <v>6426000</v>
      </c>
      <c r="E7268" t="s">
        <v>188</v>
      </c>
      <c r="F7268">
        <v>5104010104</v>
      </c>
      <c r="G7268" s="13">
        <v>33250</v>
      </c>
      <c r="I7268" t="s">
        <v>150</v>
      </c>
      <c r="J7268" t="s">
        <v>1277</v>
      </c>
      <c r="K7268" t="s">
        <v>69</v>
      </c>
      <c r="L7268">
        <v>8000809034</v>
      </c>
      <c r="N7268" t="s">
        <v>1031</v>
      </c>
    </row>
    <row r="7269" spans="3:14">
      <c r="C7269">
        <v>2100300025</v>
      </c>
      <c r="D7269">
        <v>6426000</v>
      </c>
      <c r="E7269" t="s">
        <v>188</v>
      </c>
      <c r="F7269">
        <v>5104010104</v>
      </c>
      <c r="G7269" s="13">
        <v>9520</v>
      </c>
      <c r="I7269" t="s">
        <v>150</v>
      </c>
      <c r="J7269" t="s">
        <v>1277</v>
      </c>
      <c r="K7269" t="s">
        <v>69</v>
      </c>
      <c r="L7269">
        <v>8000809185</v>
      </c>
      <c r="N7269" t="s">
        <v>1031</v>
      </c>
    </row>
    <row r="7270" spans="3:14">
      <c r="C7270">
        <v>2100300025</v>
      </c>
      <c r="D7270">
        <v>6426000</v>
      </c>
      <c r="E7270" t="s">
        <v>188</v>
      </c>
      <c r="F7270">
        <v>5104010104</v>
      </c>
      <c r="G7270" s="13">
        <v>120000</v>
      </c>
      <c r="I7270" t="s">
        <v>150</v>
      </c>
      <c r="J7270" t="s">
        <v>848</v>
      </c>
      <c r="K7270" t="s">
        <v>69</v>
      </c>
      <c r="L7270">
        <v>8000873451</v>
      </c>
      <c r="N7270" t="s">
        <v>1438</v>
      </c>
    </row>
    <row r="7271" spans="3:14">
      <c r="C7271">
        <v>2100300025</v>
      </c>
      <c r="D7271">
        <v>6426000</v>
      </c>
      <c r="E7271" t="s">
        <v>188</v>
      </c>
      <c r="F7271">
        <v>5104010104</v>
      </c>
      <c r="G7271" s="13">
        <v>53500</v>
      </c>
      <c r="I7271" t="s">
        <v>150</v>
      </c>
      <c r="J7271" t="s">
        <v>954</v>
      </c>
      <c r="K7271" t="s">
        <v>69</v>
      </c>
      <c r="L7271">
        <v>8000872191</v>
      </c>
      <c r="N7271" t="s">
        <v>1031</v>
      </c>
    </row>
    <row r="7272" spans="3:14">
      <c r="C7272">
        <v>2100300025</v>
      </c>
      <c r="D7272">
        <v>6426000</v>
      </c>
      <c r="E7272" t="s">
        <v>188</v>
      </c>
      <c r="F7272">
        <v>5104010104</v>
      </c>
      <c r="G7272" s="13">
        <v>192386</v>
      </c>
      <c r="I7272" t="s">
        <v>150</v>
      </c>
      <c r="J7272" t="s">
        <v>849</v>
      </c>
      <c r="K7272" t="s">
        <v>69</v>
      </c>
      <c r="L7272">
        <v>8000756494</v>
      </c>
      <c r="N7272" t="s">
        <v>1031</v>
      </c>
    </row>
    <row r="7273" spans="3:14">
      <c r="C7273">
        <v>2100300025</v>
      </c>
      <c r="D7273">
        <v>6426000</v>
      </c>
      <c r="E7273" t="s">
        <v>188</v>
      </c>
      <c r="F7273">
        <v>5104010104</v>
      </c>
      <c r="G7273" s="13">
        <v>6150</v>
      </c>
      <c r="I7273" t="s">
        <v>150</v>
      </c>
      <c r="J7273" t="s">
        <v>955</v>
      </c>
      <c r="K7273" t="s">
        <v>69</v>
      </c>
      <c r="L7273">
        <v>8000848290</v>
      </c>
      <c r="N7273" t="s">
        <v>1031</v>
      </c>
    </row>
    <row r="7274" spans="3:14">
      <c r="C7274">
        <v>2100300025</v>
      </c>
      <c r="D7274">
        <v>6426000</v>
      </c>
      <c r="E7274" t="s">
        <v>188</v>
      </c>
      <c r="F7274">
        <v>5104010104</v>
      </c>
      <c r="G7274" s="13">
        <v>6000</v>
      </c>
      <c r="I7274" t="s">
        <v>150</v>
      </c>
      <c r="J7274" t="s">
        <v>951</v>
      </c>
      <c r="K7274" t="s">
        <v>69</v>
      </c>
      <c r="L7274">
        <v>8000851230</v>
      </c>
      <c r="N7274" t="s">
        <v>1031</v>
      </c>
    </row>
    <row r="7275" spans="3:14">
      <c r="C7275">
        <v>2100300025</v>
      </c>
      <c r="D7275">
        <v>6426000</v>
      </c>
      <c r="E7275" t="s">
        <v>188</v>
      </c>
      <c r="F7275">
        <v>5104010104</v>
      </c>
      <c r="G7275" s="13">
        <v>8100</v>
      </c>
      <c r="I7275" t="s">
        <v>150</v>
      </c>
      <c r="J7275" t="s">
        <v>956</v>
      </c>
      <c r="K7275" t="s">
        <v>69</v>
      </c>
      <c r="L7275">
        <v>8000851919</v>
      </c>
      <c r="N7275" t="s">
        <v>1031</v>
      </c>
    </row>
    <row r="7276" spans="3:14">
      <c r="C7276">
        <v>2100300025</v>
      </c>
      <c r="D7276">
        <v>6426000</v>
      </c>
      <c r="E7276" t="s">
        <v>188</v>
      </c>
      <c r="F7276">
        <v>5104010104</v>
      </c>
      <c r="G7276" s="13">
        <v>90000</v>
      </c>
      <c r="I7276" t="s">
        <v>150</v>
      </c>
      <c r="J7276" t="s">
        <v>950</v>
      </c>
      <c r="K7276" t="s">
        <v>69</v>
      </c>
      <c r="L7276">
        <v>8000837617</v>
      </c>
      <c r="N7276" t="s">
        <v>1031</v>
      </c>
    </row>
    <row r="7277" spans="3:14">
      <c r="C7277">
        <v>2100300025</v>
      </c>
      <c r="D7277">
        <v>6426000</v>
      </c>
      <c r="E7277" t="s">
        <v>188</v>
      </c>
      <c r="F7277">
        <v>5104010104</v>
      </c>
      <c r="G7277" s="13">
        <v>8890</v>
      </c>
      <c r="I7277" t="s">
        <v>150</v>
      </c>
      <c r="J7277" t="s">
        <v>950</v>
      </c>
      <c r="K7277" t="s">
        <v>69</v>
      </c>
      <c r="L7277">
        <v>8000833910</v>
      </c>
      <c r="N7277" t="s">
        <v>1031</v>
      </c>
    </row>
    <row r="7278" spans="3:14">
      <c r="C7278">
        <v>2100300025</v>
      </c>
      <c r="D7278">
        <v>6426000</v>
      </c>
      <c r="E7278" t="s">
        <v>188</v>
      </c>
      <c r="F7278">
        <v>5104010104</v>
      </c>
      <c r="G7278" s="13">
        <v>-480000</v>
      </c>
      <c r="I7278" t="s">
        <v>150</v>
      </c>
      <c r="J7278" t="s">
        <v>963</v>
      </c>
      <c r="K7278" t="s">
        <v>69</v>
      </c>
      <c r="L7278">
        <v>8001016936</v>
      </c>
      <c r="N7278" t="s">
        <v>1031</v>
      </c>
    </row>
    <row r="7279" spans="3:14">
      <c r="C7279">
        <v>2100300025</v>
      </c>
      <c r="D7279">
        <v>6426000</v>
      </c>
      <c r="E7279" t="s">
        <v>188</v>
      </c>
      <c r="F7279">
        <v>5104010104</v>
      </c>
      <c r="G7279" s="13">
        <v>-480000</v>
      </c>
      <c r="I7279" t="s">
        <v>150</v>
      </c>
      <c r="J7279" t="s">
        <v>963</v>
      </c>
      <c r="K7279" t="s">
        <v>69</v>
      </c>
      <c r="L7279">
        <v>8001013549</v>
      </c>
      <c r="N7279" t="s">
        <v>1031</v>
      </c>
    </row>
    <row r="7280" spans="3:14">
      <c r="C7280">
        <v>2100300025</v>
      </c>
      <c r="D7280">
        <v>6426000</v>
      </c>
      <c r="E7280" t="s">
        <v>188</v>
      </c>
      <c r="F7280">
        <v>5104010104</v>
      </c>
      <c r="G7280" s="13">
        <v>20000</v>
      </c>
      <c r="I7280" t="s">
        <v>150</v>
      </c>
      <c r="J7280" t="s">
        <v>963</v>
      </c>
      <c r="K7280" t="s">
        <v>69</v>
      </c>
      <c r="L7280">
        <v>8000969784</v>
      </c>
      <c r="N7280" t="s">
        <v>1031</v>
      </c>
    </row>
    <row r="7281" spans="3:14">
      <c r="C7281">
        <v>2100300025</v>
      </c>
      <c r="D7281">
        <v>6426000</v>
      </c>
      <c r="E7281" t="s">
        <v>188</v>
      </c>
      <c r="F7281">
        <v>5104010104</v>
      </c>
      <c r="G7281" s="13">
        <v>13470</v>
      </c>
      <c r="I7281" t="s">
        <v>150</v>
      </c>
      <c r="J7281" t="s">
        <v>962</v>
      </c>
      <c r="K7281" t="s">
        <v>69</v>
      </c>
      <c r="L7281">
        <v>8001024342</v>
      </c>
      <c r="N7281" t="s">
        <v>1031</v>
      </c>
    </row>
    <row r="7282" spans="3:14">
      <c r="C7282">
        <v>2100300025</v>
      </c>
      <c r="D7282">
        <v>6426000</v>
      </c>
      <c r="E7282" t="s">
        <v>188</v>
      </c>
      <c r="F7282">
        <v>5104010104</v>
      </c>
      <c r="G7282" s="13">
        <v>1250000</v>
      </c>
      <c r="I7282" t="s">
        <v>150</v>
      </c>
      <c r="J7282" t="s">
        <v>1389</v>
      </c>
      <c r="K7282" t="s">
        <v>69</v>
      </c>
      <c r="L7282">
        <v>8001024107</v>
      </c>
      <c r="N7282" t="s">
        <v>1031</v>
      </c>
    </row>
    <row r="7283" spans="3:14">
      <c r="C7283">
        <v>2100300025</v>
      </c>
      <c r="D7283">
        <v>6426000</v>
      </c>
      <c r="E7283" t="s">
        <v>188</v>
      </c>
      <c r="F7283">
        <v>5104010104</v>
      </c>
      <c r="G7283" s="13">
        <v>13490</v>
      </c>
      <c r="I7283" t="s">
        <v>150</v>
      </c>
      <c r="J7283" t="s">
        <v>963</v>
      </c>
      <c r="K7283" t="s">
        <v>69</v>
      </c>
      <c r="L7283">
        <v>8000950653</v>
      </c>
      <c r="N7283" t="s">
        <v>1031</v>
      </c>
    </row>
    <row r="7284" spans="3:14">
      <c r="C7284">
        <v>2100300025</v>
      </c>
      <c r="D7284">
        <v>6426000</v>
      </c>
      <c r="E7284" t="s">
        <v>188</v>
      </c>
      <c r="F7284">
        <v>5104010104</v>
      </c>
      <c r="G7284" s="13">
        <v>480000</v>
      </c>
      <c r="I7284" t="s">
        <v>150</v>
      </c>
      <c r="J7284" t="s">
        <v>963</v>
      </c>
      <c r="K7284" t="s">
        <v>69</v>
      </c>
      <c r="L7284">
        <v>8001017020</v>
      </c>
      <c r="N7284" t="s">
        <v>1031</v>
      </c>
    </row>
    <row r="7285" spans="3:14">
      <c r="C7285">
        <v>2100300025</v>
      </c>
      <c r="D7285">
        <v>6426000</v>
      </c>
      <c r="E7285" t="s">
        <v>188</v>
      </c>
      <c r="F7285">
        <v>5104010104</v>
      </c>
      <c r="G7285" s="13">
        <v>8800</v>
      </c>
      <c r="I7285" t="s">
        <v>150</v>
      </c>
      <c r="J7285" t="s">
        <v>861</v>
      </c>
      <c r="K7285" t="s">
        <v>69</v>
      </c>
      <c r="L7285">
        <v>8001180687</v>
      </c>
      <c r="N7285" t="s">
        <v>1031</v>
      </c>
    </row>
    <row r="7286" spans="3:14">
      <c r="C7286">
        <v>2100300025</v>
      </c>
      <c r="D7286">
        <v>6426000</v>
      </c>
      <c r="E7286" t="s">
        <v>188</v>
      </c>
      <c r="F7286">
        <v>5104010104</v>
      </c>
      <c r="G7286" s="13">
        <v>5850</v>
      </c>
      <c r="I7286" t="s">
        <v>150</v>
      </c>
      <c r="J7286" t="s">
        <v>969</v>
      </c>
      <c r="K7286" t="s">
        <v>69</v>
      </c>
      <c r="L7286">
        <v>8001183884</v>
      </c>
      <c r="N7286" t="s">
        <v>1031</v>
      </c>
    </row>
    <row r="7287" spans="3:14">
      <c r="C7287">
        <v>2100300025</v>
      </c>
      <c r="D7287">
        <v>6426000</v>
      </c>
      <c r="E7287" t="s">
        <v>188</v>
      </c>
      <c r="F7287">
        <v>5104010104</v>
      </c>
      <c r="G7287" s="13">
        <v>8236</v>
      </c>
      <c r="I7287" t="s">
        <v>150</v>
      </c>
      <c r="J7287" t="s">
        <v>972</v>
      </c>
      <c r="K7287" t="s">
        <v>69</v>
      </c>
      <c r="L7287">
        <v>8001158010</v>
      </c>
      <c r="N7287" t="s">
        <v>1031</v>
      </c>
    </row>
    <row r="7288" spans="3:14">
      <c r="C7288">
        <v>2100300025</v>
      </c>
      <c r="D7288">
        <v>6426000</v>
      </c>
      <c r="E7288" t="s">
        <v>188</v>
      </c>
      <c r="F7288">
        <v>5104010104</v>
      </c>
      <c r="G7288" s="13">
        <v>7120</v>
      </c>
      <c r="I7288" t="s">
        <v>150</v>
      </c>
      <c r="J7288" t="s">
        <v>969</v>
      </c>
      <c r="K7288" t="s">
        <v>69</v>
      </c>
      <c r="L7288">
        <v>8001347629</v>
      </c>
      <c r="N7288" t="s">
        <v>1031</v>
      </c>
    </row>
    <row r="7289" spans="3:14">
      <c r="C7289">
        <v>2100300025</v>
      </c>
      <c r="D7289">
        <v>6426000</v>
      </c>
      <c r="E7289" t="s">
        <v>188</v>
      </c>
      <c r="F7289">
        <v>5104010104</v>
      </c>
      <c r="G7289" s="13">
        <v>5713</v>
      </c>
      <c r="I7289" t="s">
        <v>150</v>
      </c>
      <c r="J7289" t="s">
        <v>970</v>
      </c>
      <c r="K7289" t="s">
        <v>69</v>
      </c>
      <c r="L7289">
        <v>8001220252</v>
      </c>
      <c r="N7289" t="s">
        <v>1031</v>
      </c>
    </row>
    <row r="7290" spans="3:14">
      <c r="C7290">
        <v>2100300025</v>
      </c>
      <c r="D7290">
        <v>6426000</v>
      </c>
      <c r="E7290" t="s">
        <v>188</v>
      </c>
      <c r="F7290">
        <v>5104010104</v>
      </c>
      <c r="G7290" s="13">
        <v>10465</v>
      </c>
      <c r="I7290" t="s">
        <v>150</v>
      </c>
      <c r="J7290" t="s">
        <v>589</v>
      </c>
      <c r="K7290" t="s">
        <v>69</v>
      </c>
      <c r="L7290">
        <v>8001339924</v>
      </c>
      <c r="N7290" t="s">
        <v>1031</v>
      </c>
    </row>
    <row r="7291" spans="3:14">
      <c r="C7291">
        <v>2100300025</v>
      </c>
      <c r="D7291">
        <v>6426000</v>
      </c>
      <c r="E7291" t="s">
        <v>188</v>
      </c>
      <c r="F7291">
        <v>5104010104</v>
      </c>
      <c r="G7291" s="13">
        <v>56000</v>
      </c>
      <c r="I7291" t="s">
        <v>150</v>
      </c>
      <c r="J7291" t="s">
        <v>976</v>
      </c>
      <c r="K7291" t="s">
        <v>69</v>
      </c>
      <c r="L7291">
        <v>8001118853</v>
      </c>
      <c r="N7291" t="s">
        <v>1031</v>
      </c>
    </row>
    <row r="7292" spans="3:14">
      <c r="C7292">
        <v>2100300025</v>
      </c>
      <c r="D7292">
        <v>6426000</v>
      </c>
      <c r="E7292" t="s">
        <v>188</v>
      </c>
      <c r="F7292">
        <v>5104010104</v>
      </c>
      <c r="G7292" s="13">
        <v>6000</v>
      </c>
      <c r="I7292" t="s">
        <v>150</v>
      </c>
      <c r="J7292" t="s">
        <v>859</v>
      </c>
      <c r="K7292" t="s">
        <v>69</v>
      </c>
      <c r="L7292">
        <v>8001125510</v>
      </c>
      <c r="N7292" t="s">
        <v>1031</v>
      </c>
    </row>
    <row r="7293" spans="3:14">
      <c r="C7293">
        <v>2100300025</v>
      </c>
      <c r="D7293">
        <v>6426000</v>
      </c>
      <c r="E7293" t="s">
        <v>188</v>
      </c>
      <c r="F7293">
        <v>5104010104</v>
      </c>
      <c r="G7293" s="13">
        <v>7380</v>
      </c>
      <c r="I7293" t="s">
        <v>150</v>
      </c>
      <c r="J7293" t="s">
        <v>957</v>
      </c>
      <c r="K7293" t="s">
        <v>69</v>
      </c>
      <c r="L7293">
        <v>8000859166</v>
      </c>
      <c r="N7293" t="s">
        <v>1031</v>
      </c>
    </row>
    <row r="7294" spans="3:14">
      <c r="C7294">
        <v>2100300025</v>
      </c>
      <c r="D7294">
        <v>6426000</v>
      </c>
      <c r="E7294" t="s">
        <v>188</v>
      </c>
      <c r="F7294">
        <v>5104010104</v>
      </c>
      <c r="G7294" s="13">
        <v>72905</v>
      </c>
      <c r="I7294" t="s">
        <v>150</v>
      </c>
      <c r="J7294" t="s">
        <v>960</v>
      </c>
      <c r="K7294" t="s">
        <v>69</v>
      </c>
      <c r="L7294">
        <v>8000977459</v>
      </c>
      <c r="N7294" t="s">
        <v>1031</v>
      </c>
    </row>
    <row r="7295" spans="3:14">
      <c r="C7295">
        <v>2100300025</v>
      </c>
      <c r="D7295">
        <v>6426000</v>
      </c>
      <c r="E7295" t="s">
        <v>188</v>
      </c>
      <c r="F7295">
        <v>5104010104</v>
      </c>
      <c r="G7295" s="13">
        <v>15387.5</v>
      </c>
      <c r="I7295" t="s">
        <v>150</v>
      </c>
      <c r="J7295" t="s">
        <v>867</v>
      </c>
      <c r="K7295" t="s">
        <v>69</v>
      </c>
      <c r="L7295">
        <v>8001414142</v>
      </c>
      <c r="N7295" t="s">
        <v>1031</v>
      </c>
    </row>
    <row r="7296" spans="3:14">
      <c r="C7296">
        <v>2100300025</v>
      </c>
      <c r="D7296">
        <v>6426000</v>
      </c>
      <c r="E7296" t="s">
        <v>188</v>
      </c>
      <c r="F7296">
        <v>5104010104</v>
      </c>
      <c r="G7296" s="13">
        <v>10400</v>
      </c>
      <c r="I7296" t="s">
        <v>150</v>
      </c>
      <c r="J7296" t="s">
        <v>977</v>
      </c>
      <c r="K7296" t="s">
        <v>69</v>
      </c>
      <c r="L7296">
        <v>8001199620</v>
      </c>
      <c r="N7296" t="s">
        <v>1031</v>
      </c>
    </row>
    <row r="7297" spans="3:14">
      <c r="C7297">
        <v>2100300025</v>
      </c>
      <c r="D7297">
        <v>6426000</v>
      </c>
      <c r="E7297" t="s">
        <v>188</v>
      </c>
      <c r="F7297">
        <v>5104010104</v>
      </c>
      <c r="G7297" s="13">
        <v>15000</v>
      </c>
      <c r="I7297" t="s">
        <v>150</v>
      </c>
      <c r="J7297" t="s">
        <v>849</v>
      </c>
      <c r="K7297" t="s">
        <v>69</v>
      </c>
      <c r="L7297">
        <v>8000758302</v>
      </c>
      <c r="N7297" t="s">
        <v>1031</v>
      </c>
    </row>
    <row r="7298" spans="3:14">
      <c r="C7298">
        <v>2100300025</v>
      </c>
      <c r="D7298">
        <v>6426000</v>
      </c>
      <c r="E7298" t="s">
        <v>188</v>
      </c>
      <c r="F7298">
        <v>5104010104</v>
      </c>
      <c r="G7298" s="13">
        <v>17347</v>
      </c>
      <c r="I7298" t="s">
        <v>150</v>
      </c>
      <c r="J7298" t="s">
        <v>1270</v>
      </c>
      <c r="K7298" t="s">
        <v>69</v>
      </c>
      <c r="L7298">
        <v>8000735772</v>
      </c>
      <c r="N7298" t="s">
        <v>1031</v>
      </c>
    </row>
    <row r="7299" spans="3:14">
      <c r="C7299">
        <v>2100300025</v>
      </c>
      <c r="D7299">
        <v>6426000</v>
      </c>
      <c r="E7299" t="s">
        <v>188</v>
      </c>
      <c r="F7299">
        <v>5104010104</v>
      </c>
      <c r="G7299" s="13">
        <v>16500</v>
      </c>
      <c r="I7299" t="s">
        <v>150</v>
      </c>
      <c r="J7299" t="s">
        <v>583</v>
      </c>
      <c r="K7299" t="s">
        <v>69</v>
      </c>
      <c r="L7299">
        <v>8000738410</v>
      </c>
      <c r="N7299" t="s">
        <v>1031</v>
      </c>
    </row>
    <row r="7300" spans="3:14">
      <c r="C7300">
        <v>2100300025</v>
      </c>
      <c r="D7300">
        <v>6426000</v>
      </c>
      <c r="E7300" t="s">
        <v>188</v>
      </c>
      <c r="F7300">
        <v>5104010104</v>
      </c>
      <c r="G7300" s="13">
        <v>17000</v>
      </c>
      <c r="I7300" t="s">
        <v>150</v>
      </c>
      <c r="J7300" t="s">
        <v>843</v>
      </c>
      <c r="K7300" t="s">
        <v>69</v>
      </c>
      <c r="L7300">
        <v>8000758011</v>
      </c>
      <c r="N7300" t="s">
        <v>1031</v>
      </c>
    </row>
    <row r="7301" spans="3:14">
      <c r="C7301">
        <v>2100300025</v>
      </c>
      <c r="D7301">
        <v>6426000</v>
      </c>
      <c r="E7301" t="s">
        <v>188</v>
      </c>
      <c r="F7301">
        <v>5104010104</v>
      </c>
      <c r="G7301" s="13">
        <v>63130</v>
      </c>
      <c r="I7301" t="s">
        <v>150</v>
      </c>
      <c r="J7301" t="s">
        <v>849</v>
      </c>
      <c r="K7301" t="s">
        <v>69</v>
      </c>
      <c r="L7301">
        <v>8000758006</v>
      </c>
      <c r="N7301" t="s">
        <v>1031</v>
      </c>
    </row>
    <row r="7302" spans="3:14">
      <c r="C7302">
        <v>2100300025</v>
      </c>
      <c r="D7302">
        <v>6426000</v>
      </c>
      <c r="E7302" t="s">
        <v>188</v>
      </c>
      <c r="F7302">
        <v>5104010104</v>
      </c>
      <c r="G7302" s="13">
        <v>52000</v>
      </c>
      <c r="I7302" t="s">
        <v>150</v>
      </c>
      <c r="J7302" t="s">
        <v>849</v>
      </c>
      <c r="K7302" t="s">
        <v>69</v>
      </c>
      <c r="L7302">
        <v>8000758040</v>
      </c>
      <c r="N7302" t="s">
        <v>1031</v>
      </c>
    </row>
    <row r="7303" spans="3:14">
      <c r="C7303">
        <v>2100300025</v>
      </c>
      <c r="D7303">
        <v>6426000</v>
      </c>
      <c r="E7303" t="s">
        <v>188</v>
      </c>
      <c r="F7303">
        <v>5104010104</v>
      </c>
      <c r="G7303" s="13">
        <v>18725</v>
      </c>
      <c r="I7303" t="s">
        <v>150</v>
      </c>
      <c r="J7303" t="s">
        <v>849</v>
      </c>
      <c r="K7303" t="s">
        <v>69</v>
      </c>
      <c r="L7303">
        <v>8000758690</v>
      </c>
      <c r="N7303" t="s">
        <v>1031</v>
      </c>
    </row>
    <row r="7304" spans="3:14">
      <c r="C7304">
        <v>2100300025</v>
      </c>
      <c r="D7304">
        <v>6426000</v>
      </c>
      <c r="E7304" t="s">
        <v>188</v>
      </c>
      <c r="F7304">
        <v>5104010104</v>
      </c>
      <c r="G7304" s="13">
        <v>8902.4</v>
      </c>
      <c r="I7304" t="s">
        <v>150</v>
      </c>
      <c r="J7304" t="s">
        <v>954</v>
      </c>
      <c r="K7304" t="s">
        <v>69</v>
      </c>
      <c r="L7304">
        <v>8000798236</v>
      </c>
      <c r="N7304" t="s">
        <v>1031</v>
      </c>
    </row>
    <row r="7305" spans="3:14">
      <c r="C7305">
        <v>2100300025</v>
      </c>
      <c r="D7305">
        <v>6426000</v>
      </c>
      <c r="E7305" t="s">
        <v>188</v>
      </c>
      <c r="F7305">
        <v>5104010104</v>
      </c>
      <c r="G7305" s="13">
        <v>7910</v>
      </c>
      <c r="I7305" t="s">
        <v>150</v>
      </c>
      <c r="J7305" t="s">
        <v>951</v>
      </c>
      <c r="K7305" t="s">
        <v>69</v>
      </c>
      <c r="L7305">
        <v>8000843528</v>
      </c>
      <c r="N7305" t="s">
        <v>1031</v>
      </c>
    </row>
    <row r="7306" spans="3:14">
      <c r="C7306">
        <v>2100300025</v>
      </c>
      <c r="D7306">
        <v>6426000</v>
      </c>
      <c r="E7306" t="s">
        <v>188</v>
      </c>
      <c r="F7306">
        <v>5104010104</v>
      </c>
      <c r="G7306" s="13">
        <v>51360</v>
      </c>
      <c r="I7306" t="s">
        <v>150</v>
      </c>
      <c r="J7306" t="s">
        <v>957</v>
      </c>
      <c r="K7306" t="s">
        <v>69</v>
      </c>
      <c r="L7306">
        <v>8000835253</v>
      </c>
      <c r="N7306" t="s">
        <v>1031</v>
      </c>
    </row>
    <row r="7307" spans="3:14">
      <c r="C7307">
        <v>2100300025</v>
      </c>
      <c r="D7307">
        <v>6426000</v>
      </c>
      <c r="E7307" t="s">
        <v>188</v>
      </c>
      <c r="F7307">
        <v>5104010104</v>
      </c>
      <c r="G7307" s="13">
        <v>1150000</v>
      </c>
      <c r="I7307" t="s">
        <v>150</v>
      </c>
      <c r="J7307" t="s">
        <v>951</v>
      </c>
      <c r="K7307" t="s">
        <v>69</v>
      </c>
      <c r="L7307">
        <v>8000832753</v>
      </c>
      <c r="N7307" t="s">
        <v>1031</v>
      </c>
    </row>
    <row r="7308" spans="3:14">
      <c r="C7308">
        <v>2100300025</v>
      </c>
      <c r="D7308">
        <v>6426000</v>
      </c>
      <c r="E7308" t="s">
        <v>188</v>
      </c>
      <c r="F7308">
        <v>5104010104</v>
      </c>
      <c r="G7308" s="13">
        <v>54130</v>
      </c>
      <c r="I7308" t="s">
        <v>150</v>
      </c>
      <c r="J7308" t="s">
        <v>846</v>
      </c>
      <c r="K7308" t="s">
        <v>69</v>
      </c>
      <c r="L7308">
        <v>8000885750</v>
      </c>
      <c r="N7308" t="s">
        <v>1031</v>
      </c>
    </row>
    <row r="7309" spans="3:14">
      <c r="C7309">
        <v>2100300025</v>
      </c>
      <c r="D7309">
        <v>6426000</v>
      </c>
      <c r="E7309" t="s">
        <v>188</v>
      </c>
      <c r="F7309">
        <v>5104010104</v>
      </c>
      <c r="G7309" s="13">
        <v>8237</v>
      </c>
      <c r="I7309" t="s">
        <v>150</v>
      </c>
      <c r="J7309" t="s">
        <v>585</v>
      </c>
      <c r="K7309" t="s">
        <v>69</v>
      </c>
      <c r="L7309">
        <v>8000943983</v>
      </c>
      <c r="N7309" t="s">
        <v>1031</v>
      </c>
    </row>
    <row r="7310" spans="3:14">
      <c r="C7310">
        <v>2100300025</v>
      </c>
      <c r="D7310">
        <v>6426000</v>
      </c>
      <c r="E7310" t="s">
        <v>188</v>
      </c>
      <c r="F7310">
        <v>5104010104</v>
      </c>
      <c r="G7310" s="13">
        <v>-11200</v>
      </c>
      <c r="I7310" t="s">
        <v>150</v>
      </c>
      <c r="J7310" t="s">
        <v>962</v>
      </c>
      <c r="K7310" t="s">
        <v>69</v>
      </c>
      <c r="L7310">
        <v>8001053794</v>
      </c>
      <c r="N7310" t="s">
        <v>1031</v>
      </c>
    </row>
    <row r="7311" spans="3:14">
      <c r="C7311">
        <v>2100300025</v>
      </c>
      <c r="D7311">
        <v>6426000</v>
      </c>
      <c r="E7311" t="s">
        <v>188</v>
      </c>
      <c r="F7311">
        <v>5104010104</v>
      </c>
      <c r="G7311" s="13">
        <v>55000</v>
      </c>
      <c r="I7311" t="s">
        <v>150</v>
      </c>
      <c r="J7311" t="s">
        <v>958</v>
      </c>
      <c r="K7311" t="s">
        <v>69</v>
      </c>
      <c r="L7311">
        <v>8000983529</v>
      </c>
      <c r="N7311" t="s">
        <v>1031</v>
      </c>
    </row>
    <row r="7312" spans="3:14">
      <c r="C7312">
        <v>2100300025</v>
      </c>
      <c r="D7312">
        <v>6426000</v>
      </c>
      <c r="E7312" t="s">
        <v>188</v>
      </c>
      <c r="F7312">
        <v>5104010104</v>
      </c>
      <c r="G7312" s="13">
        <v>45990.74</v>
      </c>
      <c r="I7312" t="s">
        <v>150</v>
      </c>
      <c r="J7312" t="s">
        <v>959</v>
      </c>
      <c r="K7312" t="s">
        <v>69</v>
      </c>
      <c r="L7312">
        <v>8000920331</v>
      </c>
      <c r="N7312" t="s">
        <v>1031</v>
      </c>
    </row>
    <row r="7313" spans="3:14">
      <c r="C7313">
        <v>2100300025</v>
      </c>
      <c r="D7313">
        <v>6426000</v>
      </c>
      <c r="E7313" t="s">
        <v>188</v>
      </c>
      <c r="F7313">
        <v>5104010104</v>
      </c>
      <c r="G7313" s="13">
        <v>6700</v>
      </c>
      <c r="I7313" t="s">
        <v>150</v>
      </c>
      <c r="J7313" t="s">
        <v>959</v>
      </c>
      <c r="K7313" t="s">
        <v>69</v>
      </c>
      <c r="L7313">
        <v>8000916988</v>
      </c>
      <c r="N7313" t="s">
        <v>1031</v>
      </c>
    </row>
    <row r="7314" spans="3:14">
      <c r="C7314">
        <v>2100300025</v>
      </c>
      <c r="D7314">
        <v>6426000</v>
      </c>
      <c r="E7314" t="s">
        <v>188</v>
      </c>
      <c r="F7314">
        <v>5104010104</v>
      </c>
      <c r="G7314" s="13">
        <v>42000</v>
      </c>
      <c r="I7314" t="s">
        <v>150</v>
      </c>
      <c r="J7314" t="s">
        <v>960</v>
      </c>
      <c r="K7314" t="s">
        <v>69</v>
      </c>
      <c r="L7314">
        <v>8000977466</v>
      </c>
      <c r="N7314" t="s">
        <v>1031</v>
      </c>
    </row>
    <row r="7315" spans="3:14">
      <c r="C7315">
        <v>2100300025</v>
      </c>
      <c r="D7315">
        <v>6426000</v>
      </c>
      <c r="E7315" t="s">
        <v>188</v>
      </c>
      <c r="F7315">
        <v>5104010104</v>
      </c>
      <c r="G7315" s="13">
        <v>31500</v>
      </c>
      <c r="I7315" t="s">
        <v>150</v>
      </c>
      <c r="J7315" t="s">
        <v>960</v>
      </c>
      <c r="K7315" t="s">
        <v>69</v>
      </c>
      <c r="L7315">
        <v>8000971559</v>
      </c>
      <c r="N7315" t="s">
        <v>1031</v>
      </c>
    </row>
    <row r="7316" spans="3:14">
      <c r="C7316">
        <v>2100300025</v>
      </c>
      <c r="D7316">
        <v>6426000</v>
      </c>
      <c r="E7316" t="s">
        <v>188</v>
      </c>
      <c r="F7316">
        <v>5104010104</v>
      </c>
      <c r="G7316" s="13">
        <v>7800</v>
      </c>
      <c r="I7316" t="s">
        <v>150</v>
      </c>
      <c r="J7316" t="s">
        <v>964</v>
      </c>
      <c r="K7316" t="s">
        <v>69</v>
      </c>
      <c r="L7316">
        <v>8001036083</v>
      </c>
      <c r="N7316" t="s">
        <v>1031</v>
      </c>
    </row>
    <row r="7317" spans="3:14">
      <c r="C7317">
        <v>2100300025</v>
      </c>
      <c r="D7317">
        <v>6426000</v>
      </c>
      <c r="E7317" t="s">
        <v>188</v>
      </c>
      <c r="F7317">
        <v>5104010104</v>
      </c>
      <c r="G7317" s="13">
        <v>5750</v>
      </c>
      <c r="I7317" t="s">
        <v>150</v>
      </c>
      <c r="J7317" t="s">
        <v>851</v>
      </c>
      <c r="K7317" t="s">
        <v>69</v>
      </c>
      <c r="L7317">
        <v>8001036089</v>
      </c>
      <c r="N7317" t="s">
        <v>1031</v>
      </c>
    </row>
    <row r="7318" spans="3:14">
      <c r="C7318">
        <v>2100300025</v>
      </c>
      <c r="D7318">
        <v>6426000</v>
      </c>
      <c r="E7318" t="s">
        <v>188</v>
      </c>
      <c r="F7318">
        <v>5104010104</v>
      </c>
      <c r="G7318" s="13">
        <v>480000</v>
      </c>
      <c r="I7318" t="s">
        <v>150</v>
      </c>
      <c r="J7318" t="s">
        <v>963</v>
      </c>
      <c r="K7318" t="s">
        <v>69</v>
      </c>
      <c r="L7318">
        <v>8000966718</v>
      </c>
      <c r="N7318" t="s">
        <v>1031</v>
      </c>
    </row>
    <row r="7319" spans="3:14">
      <c r="C7319">
        <v>2100300025</v>
      </c>
      <c r="D7319">
        <v>6426000</v>
      </c>
      <c r="E7319" t="s">
        <v>188</v>
      </c>
      <c r="F7319">
        <v>5104010104</v>
      </c>
      <c r="G7319" s="13">
        <v>349480</v>
      </c>
      <c r="I7319" t="s">
        <v>150</v>
      </c>
      <c r="J7319" t="s">
        <v>1389</v>
      </c>
      <c r="K7319" t="s">
        <v>69</v>
      </c>
      <c r="L7319">
        <v>8001025801</v>
      </c>
      <c r="N7319" t="s">
        <v>1031</v>
      </c>
    </row>
    <row r="7320" spans="3:14">
      <c r="C7320">
        <v>2100300025</v>
      </c>
      <c r="D7320">
        <v>6426000</v>
      </c>
      <c r="E7320" t="s">
        <v>188</v>
      </c>
      <c r="F7320">
        <v>5104010104</v>
      </c>
      <c r="G7320" s="13">
        <v>55450</v>
      </c>
      <c r="I7320" t="s">
        <v>150</v>
      </c>
      <c r="J7320" t="s">
        <v>961</v>
      </c>
      <c r="K7320" t="s">
        <v>69</v>
      </c>
      <c r="L7320">
        <v>8000943370</v>
      </c>
      <c r="N7320" t="s">
        <v>1031</v>
      </c>
    </row>
    <row r="7321" spans="3:14">
      <c r="C7321">
        <v>2100300025</v>
      </c>
      <c r="D7321">
        <v>6426000</v>
      </c>
      <c r="E7321" t="s">
        <v>188</v>
      </c>
      <c r="F7321">
        <v>5104010104</v>
      </c>
      <c r="G7321" s="13">
        <v>13650</v>
      </c>
      <c r="I7321" t="s">
        <v>150</v>
      </c>
      <c r="J7321" t="s">
        <v>968</v>
      </c>
      <c r="K7321" t="s">
        <v>69</v>
      </c>
      <c r="L7321">
        <v>8001059077</v>
      </c>
      <c r="N7321" t="s">
        <v>1031</v>
      </c>
    </row>
    <row r="7322" spans="3:14">
      <c r="C7322">
        <v>2100300025</v>
      </c>
      <c r="D7322">
        <v>6426000</v>
      </c>
      <c r="E7322" t="s">
        <v>188</v>
      </c>
      <c r="F7322">
        <v>5104010104</v>
      </c>
      <c r="G7322" s="13">
        <v>124250</v>
      </c>
      <c r="I7322" t="s">
        <v>150</v>
      </c>
      <c r="J7322" t="s">
        <v>856</v>
      </c>
      <c r="K7322" t="s">
        <v>69</v>
      </c>
      <c r="L7322">
        <v>8001060700</v>
      </c>
      <c r="N7322" t="s">
        <v>1031</v>
      </c>
    </row>
    <row r="7323" spans="3:14">
      <c r="C7323">
        <v>2100300025</v>
      </c>
      <c r="D7323">
        <v>6426000</v>
      </c>
      <c r="E7323" t="s">
        <v>188</v>
      </c>
      <c r="F7323">
        <v>5104010104</v>
      </c>
      <c r="G7323" s="13">
        <v>34800</v>
      </c>
      <c r="I7323" t="s">
        <v>150</v>
      </c>
      <c r="J7323" t="s">
        <v>959</v>
      </c>
      <c r="K7323" t="s">
        <v>69</v>
      </c>
      <c r="L7323">
        <v>8000992450</v>
      </c>
      <c r="N7323" t="s">
        <v>1031</v>
      </c>
    </row>
    <row r="7324" spans="3:14">
      <c r="C7324">
        <v>2100300025</v>
      </c>
      <c r="D7324">
        <v>6426000</v>
      </c>
      <c r="E7324" t="s">
        <v>188</v>
      </c>
      <c r="F7324">
        <v>5104010104</v>
      </c>
      <c r="G7324" s="13">
        <v>11984</v>
      </c>
      <c r="I7324" t="s">
        <v>150</v>
      </c>
      <c r="J7324" t="s">
        <v>1380</v>
      </c>
      <c r="K7324" t="s">
        <v>69</v>
      </c>
      <c r="L7324">
        <v>8001120754</v>
      </c>
      <c r="N7324" t="s">
        <v>1031</v>
      </c>
    </row>
    <row r="7325" spans="3:14">
      <c r="C7325">
        <v>2100300025</v>
      </c>
      <c r="D7325">
        <v>6426000</v>
      </c>
      <c r="E7325" t="s">
        <v>188</v>
      </c>
      <c r="F7325">
        <v>5104010104</v>
      </c>
      <c r="G7325" s="13">
        <v>8736</v>
      </c>
      <c r="I7325" t="s">
        <v>150</v>
      </c>
      <c r="J7325" t="s">
        <v>856</v>
      </c>
      <c r="K7325" t="s">
        <v>69</v>
      </c>
      <c r="L7325">
        <v>8001121572</v>
      </c>
      <c r="N7325" t="s">
        <v>1031</v>
      </c>
    </row>
    <row r="7326" spans="3:14">
      <c r="C7326">
        <v>2100300025</v>
      </c>
      <c r="D7326">
        <v>6426000</v>
      </c>
      <c r="E7326" t="s">
        <v>188</v>
      </c>
      <c r="F7326">
        <v>5104010104</v>
      </c>
      <c r="G7326" s="13">
        <v>143000</v>
      </c>
      <c r="I7326" t="s">
        <v>150</v>
      </c>
      <c r="J7326" t="s">
        <v>958</v>
      </c>
      <c r="K7326" t="s">
        <v>69</v>
      </c>
      <c r="L7326">
        <v>8000988626</v>
      </c>
      <c r="N7326" t="s">
        <v>1031</v>
      </c>
    </row>
    <row r="7327" spans="3:14">
      <c r="C7327">
        <v>2100300025</v>
      </c>
      <c r="D7327">
        <v>6426000</v>
      </c>
      <c r="E7327" t="s">
        <v>188</v>
      </c>
      <c r="F7327">
        <v>5104010104</v>
      </c>
      <c r="G7327" s="13">
        <v>11200</v>
      </c>
      <c r="I7327" t="s">
        <v>150</v>
      </c>
      <c r="J7327" t="s">
        <v>1389</v>
      </c>
      <c r="K7327" t="s">
        <v>69</v>
      </c>
      <c r="L7327">
        <v>8001053797</v>
      </c>
      <c r="N7327" t="s">
        <v>1031</v>
      </c>
    </row>
    <row r="7328" spans="3:14">
      <c r="C7328">
        <v>2100300025</v>
      </c>
      <c r="D7328">
        <v>6426000</v>
      </c>
      <c r="E7328" t="s">
        <v>188</v>
      </c>
      <c r="F7328">
        <v>5104010104</v>
      </c>
      <c r="G7328" s="13">
        <v>-5850</v>
      </c>
      <c r="I7328" t="s">
        <v>150</v>
      </c>
      <c r="J7328" t="s">
        <v>969</v>
      </c>
      <c r="K7328" t="s">
        <v>69</v>
      </c>
      <c r="L7328">
        <v>8001220209</v>
      </c>
      <c r="N7328" t="s">
        <v>1031</v>
      </c>
    </row>
    <row r="7329" spans="3:14">
      <c r="C7329">
        <v>2100300025</v>
      </c>
      <c r="D7329">
        <v>6426000</v>
      </c>
      <c r="E7329" t="s">
        <v>188</v>
      </c>
      <c r="F7329">
        <v>5104010104</v>
      </c>
      <c r="G7329" s="13">
        <v>5850</v>
      </c>
      <c r="I7329" t="s">
        <v>150</v>
      </c>
      <c r="J7329" t="s">
        <v>974</v>
      </c>
      <c r="K7329" t="s">
        <v>69</v>
      </c>
      <c r="L7329">
        <v>8001221204</v>
      </c>
      <c r="N7329" t="s">
        <v>1031</v>
      </c>
    </row>
    <row r="7330" spans="3:14">
      <c r="C7330">
        <v>2100300025</v>
      </c>
      <c r="D7330">
        <v>6426000</v>
      </c>
      <c r="E7330" t="s">
        <v>188</v>
      </c>
      <c r="F7330">
        <v>5104010104</v>
      </c>
      <c r="G7330" s="13">
        <v>-17000</v>
      </c>
      <c r="I7330" t="s">
        <v>150</v>
      </c>
      <c r="J7330" t="s">
        <v>969</v>
      </c>
      <c r="K7330" t="s">
        <v>69</v>
      </c>
      <c r="L7330">
        <v>8001216156</v>
      </c>
      <c r="N7330" t="s">
        <v>1031</v>
      </c>
    </row>
    <row r="7331" spans="3:14">
      <c r="C7331">
        <v>2100300025</v>
      </c>
      <c r="D7331">
        <v>6426000</v>
      </c>
      <c r="E7331" t="s">
        <v>188</v>
      </c>
      <c r="F7331">
        <v>5104010104</v>
      </c>
      <c r="G7331" s="13">
        <v>-8750</v>
      </c>
      <c r="I7331" t="s">
        <v>150</v>
      </c>
      <c r="J7331" t="s">
        <v>566</v>
      </c>
      <c r="K7331" t="s">
        <v>69</v>
      </c>
      <c r="L7331">
        <v>8001395619</v>
      </c>
      <c r="N7331" t="s">
        <v>1031</v>
      </c>
    </row>
    <row r="7332" spans="3:14">
      <c r="C7332">
        <v>2100300025</v>
      </c>
      <c r="D7332">
        <v>6426000</v>
      </c>
      <c r="E7332" t="s">
        <v>188</v>
      </c>
      <c r="F7332">
        <v>5104010104</v>
      </c>
      <c r="G7332" s="13">
        <v>17000</v>
      </c>
      <c r="I7332" t="s">
        <v>150</v>
      </c>
      <c r="J7332" t="s">
        <v>969</v>
      </c>
      <c r="K7332" t="s">
        <v>69</v>
      </c>
      <c r="L7332">
        <v>8001182704</v>
      </c>
      <c r="N7332" t="s">
        <v>1031</v>
      </c>
    </row>
    <row r="7333" spans="3:14">
      <c r="C7333">
        <v>2100300025</v>
      </c>
      <c r="D7333">
        <v>6426000</v>
      </c>
      <c r="E7333" t="s">
        <v>188</v>
      </c>
      <c r="F7333">
        <v>5104010104</v>
      </c>
      <c r="G7333" s="13">
        <v>5339</v>
      </c>
      <c r="I7333" t="s">
        <v>150</v>
      </c>
      <c r="J7333" t="s">
        <v>1355</v>
      </c>
      <c r="K7333" t="s">
        <v>69</v>
      </c>
      <c r="L7333">
        <v>8001263857</v>
      </c>
      <c r="N7333" t="s">
        <v>1031</v>
      </c>
    </row>
    <row r="7334" spans="3:14">
      <c r="C7334">
        <v>2100300025</v>
      </c>
      <c r="D7334">
        <v>6426000</v>
      </c>
      <c r="E7334" t="s">
        <v>188</v>
      </c>
      <c r="F7334">
        <v>5104010104</v>
      </c>
      <c r="G7334" s="13">
        <v>23540</v>
      </c>
      <c r="I7334" t="s">
        <v>150</v>
      </c>
      <c r="J7334" t="s">
        <v>975</v>
      </c>
      <c r="K7334" t="s">
        <v>69</v>
      </c>
      <c r="L7334">
        <v>8001321958</v>
      </c>
      <c r="N7334" t="s">
        <v>1031</v>
      </c>
    </row>
    <row r="7335" spans="3:14">
      <c r="C7335">
        <v>2100300025</v>
      </c>
      <c r="D7335">
        <v>6426000</v>
      </c>
      <c r="E7335" t="s">
        <v>188</v>
      </c>
      <c r="F7335">
        <v>5104010104</v>
      </c>
      <c r="G7335" s="13">
        <v>7120</v>
      </c>
      <c r="I7335" t="s">
        <v>150</v>
      </c>
      <c r="J7335" t="s">
        <v>1355</v>
      </c>
      <c r="K7335" t="s">
        <v>69</v>
      </c>
      <c r="L7335">
        <v>8001259634</v>
      </c>
      <c r="N7335" t="s">
        <v>1031</v>
      </c>
    </row>
    <row r="7336" spans="3:14">
      <c r="C7336">
        <v>2100300025</v>
      </c>
      <c r="D7336">
        <v>6426000</v>
      </c>
      <c r="E7336" t="s">
        <v>188</v>
      </c>
      <c r="F7336">
        <v>5104010104</v>
      </c>
      <c r="G7336" s="13">
        <v>18650</v>
      </c>
      <c r="I7336" t="s">
        <v>150</v>
      </c>
      <c r="J7336" t="s">
        <v>970</v>
      </c>
      <c r="K7336" t="s">
        <v>69</v>
      </c>
      <c r="L7336">
        <v>8001162884</v>
      </c>
      <c r="N7336" t="s">
        <v>1031</v>
      </c>
    </row>
    <row r="7337" spans="3:14">
      <c r="C7337">
        <v>2100300025</v>
      </c>
      <c r="D7337">
        <v>6426000</v>
      </c>
      <c r="E7337" t="s">
        <v>188</v>
      </c>
      <c r="F7337">
        <v>5104010104</v>
      </c>
      <c r="G7337" s="13">
        <v>8500</v>
      </c>
      <c r="I7337" t="s">
        <v>150</v>
      </c>
      <c r="J7337" t="s">
        <v>1355</v>
      </c>
      <c r="K7337" t="s">
        <v>69</v>
      </c>
      <c r="L7337">
        <v>8000108957</v>
      </c>
      <c r="N7337" t="s">
        <v>1031</v>
      </c>
    </row>
    <row r="7338" spans="3:14">
      <c r="C7338">
        <v>2100300025</v>
      </c>
      <c r="D7338">
        <v>6426000</v>
      </c>
      <c r="E7338" t="s">
        <v>188</v>
      </c>
      <c r="F7338">
        <v>5104010104</v>
      </c>
      <c r="G7338" s="13">
        <v>8750</v>
      </c>
      <c r="I7338" t="s">
        <v>150</v>
      </c>
      <c r="J7338" t="s">
        <v>566</v>
      </c>
      <c r="K7338" t="s">
        <v>69</v>
      </c>
      <c r="L7338">
        <v>8001190572</v>
      </c>
      <c r="N7338" t="s">
        <v>1031</v>
      </c>
    </row>
    <row r="7339" spans="3:14">
      <c r="C7339">
        <v>2100300025</v>
      </c>
      <c r="D7339">
        <v>6426000</v>
      </c>
      <c r="E7339" t="s">
        <v>188</v>
      </c>
      <c r="F7339">
        <v>5104010104</v>
      </c>
      <c r="G7339" s="13">
        <v>8306</v>
      </c>
      <c r="I7339" t="s">
        <v>150</v>
      </c>
      <c r="J7339" t="s">
        <v>971</v>
      </c>
      <c r="K7339" t="s">
        <v>69</v>
      </c>
      <c r="L7339">
        <v>8001157475</v>
      </c>
      <c r="N7339" t="s">
        <v>1031</v>
      </c>
    </row>
    <row r="7340" spans="3:14">
      <c r="C7340">
        <v>2100300025</v>
      </c>
      <c r="D7340">
        <v>6426000</v>
      </c>
      <c r="E7340" t="s">
        <v>188</v>
      </c>
      <c r="F7340">
        <v>5104010104</v>
      </c>
      <c r="G7340" s="13">
        <v>6250</v>
      </c>
      <c r="I7340" t="s">
        <v>150</v>
      </c>
      <c r="J7340" t="s">
        <v>589</v>
      </c>
      <c r="K7340" t="s">
        <v>69</v>
      </c>
      <c r="L7340">
        <v>8001305391</v>
      </c>
      <c r="N7340" t="s">
        <v>1031</v>
      </c>
    </row>
    <row r="7341" spans="3:14">
      <c r="C7341">
        <v>2100300025</v>
      </c>
      <c r="D7341">
        <v>6426000</v>
      </c>
      <c r="E7341" t="s">
        <v>188</v>
      </c>
      <c r="F7341">
        <v>5104010104</v>
      </c>
      <c r="G7341" s="13">
        <v>120000</v>
      </c>
      <c r="I7341" t="s">
        <v>150</v>
      </c>
      <c r="J7341" t="s">
        <v>861</v>
      </c>
      <c r="K7341" t="s">
        <v>69</v>
      </c>
      <c r="L7341">
        <v>8001140874</v>
      </c>
      <c r="N7341" t="s">
        <v>1438</v>
      </c>
    </row>
    <row r="7342" spans="3:14">
      <c r="C7342">
        <v>2100300025</v>
      </c>
      <c r="D7342">
        <v>6426000</v>
      </c>
      <c r="E7342" t="s">
        <v>188</v>
      </c>
      <c r="F7342">
        <v>5104010104</v>
      </c>
      <c r="G7342" s="13">
        <v>41730</v>
      </c>
      <c r="I7342" t="s">
        <v>150</v>
      </c>
      <c r="J7342" t="s">
        <v>974</v>
      </c>
      <c r="K7342" t="s">
        <v>69</v>
      </c>
      <c r="L7342">
        <v>8001228701</v>
      </c>
      <c r="N7342" t="s">
        <v>1031</v>
      </c>
    </row>
    <row r="7343" spans="3:14">
      <c r="C7343">
        <v>2100300025</v>
      </c>
      <c r="D7343">
        <v>6426000</v>
      </c>
      <c r="E7343" t="s">
        <v>188</v>
      </c>
      <c r="F7343">
        <v>5104010104</v>
      </c>
      <c r="G7343" s="13">
        <v>17000</v>
      </c>
      <c r="I7343" t="s">
        <v>150</v>
      </c>
      <c r="J7343" t="s">
        <v>860</v>
      </c>
      <c r="K7343" t="s">
        <v>69</v>
      </c>
      <c r="L7343">
        <v>8001216160</v>
      </c>
      <c r="N7343" t="s">
        <v>1031</v>
      </c>
    </row>
    <row r="7344" spans="3:14">
      <c r="C7344">
        <v>2100300025</v>
      </c>
      <c r="D7344">
        <v>6426000</v>
      </c>
      <c r="E7344" t="s">
        <v>188</v>
      </c>
      <c r="F7344">
        <v>5104010104</v>
      </c>
      <c r="G7344" s="13">
        <v>5199.5</v>
      </c>
      <c r="I7344" t="s">
        <v>150</v>
      </c>
      <c r="J7344" t="s">
        <v>976</v>
      </c>
      <c r="K7344" t="s">
        <v>69</v>
      </c>
      <c r="L7344">
        <v>8001118845</v>
      </c>
      <c r="N7344" t="s">
        <v>1031</v>
      </c>
    </row>
    <row r="7345" spans="3:14">
      <c r="C7345">
        <v>2100300025</v>
      </c>
      <c r="D7345">
        <v>6426000</v>
      </c>
      <c r="E7345" t="s">
        <v>188</v>
      </c>
      <c r="F7345">
        <v>5104010104</v>
      </c>
      <c r="G7345" s="13">
        <v>-7500</v>
      </c>
      <c r="I7345" t="s">
        <v>150</v>
      </c>
      <c r="J7345" t="s">
        <v>868</v>
      </c>
      <c r="K7345" t="s">
        <v>69</v>
      </c>
      <c r="L7345">
        <v>8001365147</v>
      </c>
      <c r="N7345" t="s">
        <v>1031</v>
      </c>
    </row>
    <row r="7346" spans="3:14">
      <c r="C7346">
        <v>2100300025</v>
      </c>
      <c r="D7346">
        <v>6426000</v>
      </c>
      <c r="E7346" t="s">
        <v>188</v>
      </c>
      <c r="F7346">
        <v>5104010104</v>
      </c>
      <c r="G7346" s="13">
        <v>-30120</v>
      </c>
      <c r="I7346" t="s">
        <v>150</v>
      </c>
      <c r="J7346" t="s">
        <v>985</v>
      </c>
      <c r="K7346" t="s">
        <v>69</v>
      </c>
      <c r="L7346">
        <v>8001519208</v>
      </c>
      <c r="N7346" t="s">
        <v>1031</v>
      </c>
    </row>
    <row r="7347" spans="3:14">
      <c r="C7347">
        <v>2100300025</v>
      </c>
      <c r="D7347">
        <v>6426000</v>
      </c>
      <c r="E7347" t="s">
        <v>188</v>
      </c>
      <c r="F7347">
        <v>5104010104</v>
      </c>
      <c r="G7347" s="13">
        <v>41000</v>
      </c>
      <c r="I7347" t="s">
        <v>150</v>
      </c>
      <c r="J7347" t="s">
        <v>864</v>
      </c>
      <c r="K7347" t="s">
        <v>69</v>
      </c>
      <c r="L7347">
        <v>8001314220</v>
      </c>
      <c r="N7347" t="s">
        <v>1031</v>
      </c>
    </row>
    <row r="7348" spans="3:14">
      <c r="C7348">
        <v>2100300025</v>
      </c>
      <c r="D7348">
        <v>6426000</v>
      </c>
      <c r="E7348" t="s">
        <v>188</v>
      </c>
      <c r="F7348">
        <v>5104010104</v>
      </c>
      <c r="G7348" s="13">
        <v>60000</v>
      </c>
      <c r="I7348" t="s">
        <v>150</v>
      </c>
      <c r="J7348" t="s">
        <v>862</v>
      </c>
      <c r="K7348" t="s">
        <v>69</v>
      </c>
      <c r="L7348">
        <v>8001314230</v>
      </c>
      <c r="N7348" t="s">
        <v>1031</v>
      </c>
    </row>
    <row r="7349" spans="3:14">
      <c r="C7349">
        <v>2100300025</v>
      </c>
      <c r="D7349">
        <v>6426000</v>
      </c>
      <c r="E7349" t="s">
        <v>188</v>
      </c>
      <c r="F7349">
        <v>5104010104</v>
      </c>
      <c r="G7349" s="13">
        <v>30120</v>
      </c>
      <c r="I7349" t="s">
        <v>150</v>
      </c>
      <c r="J7349" t="s">
        <v>985</v>
      </c>
      <c r="K7349" t="s">
        <v>69</v>
      </c>
      <c r="L7349">
        <v>8001513800</v>
      </c>
      <c r="N7349" t="s">
        <v>1031</v>
      </c>
    </row>
    <row r="7350" spans="3:14">
      <c r="C7350">
        <v>2100300025</v>
      </c>
      <c r="D7350">
        <v>6426000</v>
      </c>
      <c r="E7350" t="s">
        <v>188</v>
      </c>
      <c r="F7350">
        <v>5104010104</v>
      </c>
      <c r="G7350" s="13">
        <v>66000</v>
      </c>
      <c r="I7350" t="s">
        <v>150</v>
      </c>
      <c r="J7350" t="s">
        <v>984</v>
      </c>
      <c r="K7350" t="s">
        <v>69</v>
      </c>
      <c r="L7350">
        <v>8001501336</v>
      </c>
      <c r="N7350" t="s">
        <v>1031</v>
      </c>
    </row>
    <row r="7351" spans="3:14">
      <c r="C7351">
        <v>2100300025</v>
      </c>
      <c r="D7351">
        <v>6426000</v>
      </c>
      <c r="E7351" t="s">
        <v>188</v>
      </c>
      <c r="F7351">
        <v>5104010104</v>
      </c>
      <c r="G7351" s="13">
        <v>59500</v>
      </c>
      <c r="I7351" t="s">
        <v>150</v>
      </c>
      <c r="J7351" t="s">
        <v>868</v>
      </c>
      <c r="K7351" t="s">
        <v>69</v>
      </c>
      <c r="L7351">
        <v>8001330436</v>
      </c>
      <c r="N7351" t="s">
        <v>1031</v>
      </c>
    </row>
    <row r="7352" spans="3:14">
      <c r="C7352">
        <v>2100300025</v>
      </c>
      <c r="D7352">
        <v>6426000</v>
      </c>
      <c r="E7352" t="s">
        <v>188</v>
      </c>
      <c r="F7352">
        <v>5104010104</v>
      </c>
      <c r="G7352" s="13">
        <v>18750</v>
      </c>
      <c r="I7352" t="s">
        <v>150</v>
      </c>
      <c r="J7352" t="s">
        <v>868</v>
      </c>
      <c r="K7352" t="s">
        <v>69</v>
      </c>
      <c r="L7352">
        <v>8001330930</v>
      </c>
      <c r="N7352" t="s">
        <v>1031</v>
      </c>
    </row>
    <row r="7353" spans="3:14">
      <c r="C7353">
        <v>2100300025</v>
      </c>
      <c r="D7353">
        <v>6426000</v>
      </c>
      <c r="E7353" t="s">
        <v>188</v>
      </c>
      <c r="F7353">
        <v>5104010104</v>
      </c>
      <c r="G7353" s="13">
        <v>7500</v>
      </c>
      <c r="I7353" t="s">
        <v>150</v>
      </c>
      <c r="J7353" t="s">
        <v>984</v>
      </c>
      <c r="K7353" t="s">
        <v>69</v>
      </c>
      <c r="L7353">
        <v>8001501415</v>
      </c>
      <c r="N7353" t="s">
        <v>1031</v>
      </c>
    </row>
    <row r="7354" spans="3:14">
      <c r="C7354">
        <v>2100300025</v>
      </c>
      <c r="D7354">
        <v>6426000</v>
      </c>
      <c r="E7354" t="s">
        <v>188</v>
      </c>
      <c r="F7354">
        <v>5104010104</v>
      </c>
      <c r="G7354" s="13">
        <v>6100</v>
      </c>
      <c r="I7354" t="s">
        <v>150</v>
      </c>
      <c r="J7354" t="s">
        <v>981</v>
      </c>
      <c r="K7354" t="s">
        <v>69</v>
      </c>
      <c r="L7354">
        <v>8001369803</v>
      </c>
      <c r="N7354" t="s">
        <v>1031</v>
      </c>
    </row>
    <row r="7355" spans="3:14">
      <c r="C7355">
        <v>2100300025</v>
      </c>
      <c r="D7355">
        <v>6426000</v>
      </c>
      <c r="E7355" t="s">
        <v>188</v>
      </c>
      <c r="F7355">
        <v>5104010104</v>
      </c>
      <c r="G7355" s="13">
        <v>92500</v>
      </c>
      <c r="I7355" t="s">
        <v>150</v>
      </c>
      <c r="J7355" t="s">
        <v>867</v>
      </c>
      <c r="K7355" t="s">
        <v>69</v>
      </c>
      <c r="L7355">
        <v>8001403033</v>
      </c>
      <c r="N7355" t="s">
        <v>1031</v>
      </c>
    </row>
    <row r="7356" spans="3:14">
      <c r="C7356">
        <v>2100300025</v>
      </c>
      <c r="D7356">
        <v>6426000</v>
      </c>
      <c r="E7356" t="s">
        <v>188</v>
      </c>
      <c r="F7356">
        <v>5104010104</v>
      </c>
      <c r="G7356" s="13">
        <v>496990</v>
      </c>
      <c r="I7356" t="s">
        <v>150</v>
      </c>
      <c r="J7356" t="s">
        <v>585</v>
      </c>
      <c r="K7356" t="s">
        <v>69</v>
      </c>
      <c r="L7356">
        <v>8000900859</v>
      </c>
      <c r="N7356" t="s">
        <v>1031</v>
      </c>
    </row>
    <row r="7357" spans="3:14">
      <c r="C7357">
        <v>2100300025</v>
      </c>
      <c r="D7357">
        <v>6426000</v>
      </c>
      <c r="E7357" t="s">
        <v>188</v>
      </c>
      <c r="F7357">
        <v>5104010104</v>
      </c>
      <c r="G7357" s="13">
        <v>480000</v>
      </c>
      <c r="I7357" t="s">
        <v>150</v>
      </c>
      <c r="J7357" t="s">
        <v>963</v>
      </c>
      <c r="K7357" t="s">
        <v>69</v>
      </c>
      <c r="L7357">
        <v>8001013554</v>
      </c>
      <c r="N7357" t="s">
        <v>1031</v>
      </c>
    </row>
    <row r="7358" spans="3:14">
      <c r="C7358">
        <v>2100300025</v>
      </c>
      <c r="D7358">
        <v>6426000</v>
      </c>
      <c r="E7358" t="s">
        <v>188</v>
      </c>
      <c r="F7358">
        <v>5104010104</v>
      </c>
      <c r="G7358" s="13">
        <v>9843</v>
      </c>
      <c r="I7358" t="s">
        <v>150</v>
      </c>
      <c r="J7358" t="s">
        <v>973</v>
      </c>
      <c r="K7358" t="s">
        <v>69</v>
      </c>
      <c r="L7358">
        <v>8001240796</v>
      </c>
      <c r="N7358" t="s">
        <v>1031</v>
      </c>
    </row>
    <row r="7359" spans="3:14">
      <c r="C7359">
        <v>2100300025</v>
      </c>
      <c r="D7359">
        <v>6426000</v>
      </c>
      <c r="E7359" t="s">
        <v>188</v>
      </c>
      <c r="F7359">
        <v>5104010104</v>
      </c>
      <c r="G7359" s="13">
        <v>115200</v>
      </c>
      <c r="I7359" t="s">
        <v>150</v>
      </c>
      <c r="J7359" t="s">
        <v>977</v>
      </c>
      <c r="K7359" t="s">
        <v>69</v>
      </c>
      <c r="L7359">
        <v>8001199490</v>
      </c>
      <c r="N7359" t="s">
        <v>1031</v>
      </c>
    </row>
    <row r="7360" spans="3:14">
      <c r="C7360">
        <v>2100300025</v>
      </c>
      <c r="D7360">
        <v>6426000</v>
      </c>
      <c r="E7360" t="s">
        <v>188</v>
      </c>
      <c r="F7360">
        <v>5104010104</v>
      </c>
      <c r="G7360" s="13">
        <v>56078.7</v>
      </c>
      <c r="I7360" t="s">
        <v>150</v>
      </c>
      <c r="J7360" t="s">
        <v>1355</v>
      </c>
      <c r="K7360" t="s">
        <v>69</v>
      </c>
      <c r="L7360">
        <v>8001265299</v>
      </c>
      <c r="N7360" t="s">
        <v>1031</v>
      </c>
    </row>
    <row r="7361" spans="3:14">
      <c r="C7361">
        <v>2100300025</v>
      </c>
      <c r="D7361">
        <v>6426000</v>
      </c>
      <c r="E7361" t="s">
        <v>188</v>
      </c>
      <c r="F7361">
        <v>5104010104</v>
      </c>
      <c r="G7361" s="13">
        <v>10400</v>
      </c>
      <c r="I7361" t="s">
        <v>150</v>
      </c>
      <c r="J7361" t="s">
        <v>1355</v>
      </c>
      <c r="K7361" t="s">
        <v>69</v>
      </c>
      <c r="L7361">
        <v>8001265623</v>
      </c>
      <c r="N7361" t="s">
        <v>1031</v>
      </c>
    </row>
    <row r="7362" spans="3:14">
      <c r="C7362">
        <v>2100300025</v>
      </c>
      <c r="D7362">
        <v>6426000</v>
      </c>
      <c r="E7362" t="s">
        <v>188</v>
      </c>
      <c r="F7362">
        <v>5104010104</v>
      </c>
      <c r="G7362" s="13">
        <v>-133250</v>
      </c>
      <c r="I7362" t="s">
        <v>150</v>
      </c>
      <c r="J7362" t="s">
        <v>864</v>
      </c>
      <c r="K7362" t="s">
        <v>69</v>
      </c>
      <c r="L7362">
        <v>8001365130</v>
      </c>
      <c r="N7362" t="s">
        <v>1031</v>
      </c>
    </row>
    <row r="7363" spans="3:14">
      <c r="C7363">
        <v>2100300025</v>
      </c>
      <c r="D7363">
        <v>6426000</v>
      </c>
      <c r="E7363" t="s">
        <v>188</v>
      </c>
      <c r="F7363">
        <v>5104010104</v>
      </c>
      <c r="G7363" s="13">
        <v>-41000</v>
      </c>
      <c r="I7363" t="s">
        <v>150</v>
      </c>
      <c r="J7363" t="s">
        <v>864</v>
      </c>
      <c r="K7363" t="s">
        <v>69</v>
      </c>
      <c r="L7363">
        <v>8001365133</v>
      </c>
      <c r="N7363" t="s">
        <v>1031</v>
      </c>
    </row>
    <row r="7364" spans="3:14">
      <c r="C7364">
        <v>2100300025</v>
      </c>
      <c r="D7364">
        <v>6426000</v>
      </c>
      <c r="E7364" t="s">
        <v>188</v>
      </c>
      <c r="F7364">
        <v>5104010104</v>
      </c>
      <c r="G7364" s="13">
        <v>-8750</v>
      </c>
      <c r="I7364" t="s">
        <v>150</v>
      </c>
      <c r="J7364" t="s">
        <v>983</v>
      </c>
      <c r="K7364" t="s">
        <v>69</v>
      </c>
      <c r="L7364">
        <v>8001418343</v>
      </c>
      <c r="N7364" t="s">
        <v>1031</v>
      </c>
    </row>
    <row r="7365" spans="3:14">
      <c r="C7365">
        <v>2100300025</v>
      </c>
      <c r="D7365">
        <v>6426000</v>
      </c>
      <c r="E7365" t="s">
        <v>188</v>
      </c>
      <c r="F7365">
        <v>5104010104</v>
      </c>
      <c r="G7365" s="13">
        <v>-13300</v>
      </c>
      <c r="I7365" t="s">
        <v>150</v>
      </c>
      <c r="J7365" t="s">
        <v>862</v>
      </c>
      <c r="K7365" t="s">
        <v>69</v>
      </c>
      <c r="L7365">
        <v>8001388332</v>
      </c>
      <c r="N7365" t="s">
        <v>1031</v>
      </c>
    </row>
    <row r="7366" spans="3:14">
      <c r="C7366">
        <v>2100300025</v>
      </c>
      <c r="D7366">
        <v>6426000</v>
      </c>
      <c r="E7366" t="s">
        <v>188</v>
      </c>
      <c r="F7366">
        <v>5104010104</v>
      </c>
      <c r="G7366" s="13">
        <v>94202.8</v>
      </c>
      <c r="I7366" t="s">
        <v>150</v>
      </c>
      <c r="J7366" t="s">
        <v>868</v>
      </c>
      <c r="K7366" t="s">
        <v>69</v>
      </c>
      <c r="L7366">
        <v>8001322834</v>
      </c>
      <c r="N7366" t="s">
        <v>1031</v>
      </c>
    </row>
    <row r="7367" spans="3:14">
      <c r="C7367">
        <v>2100300025</v>
      </c>
      <c r="D7367">
        <v>6426000</v>
      </c>
      <c r="E7367" t="s">
        <v>188</v>
      </c>
      <c r="F7367">
        <v>5104010104</v>
      </c>
      <c r="G7367" s="13">
        <v>7500</v>
      </c>
      <c r="I7367" t="s">
        <v>150</v>
      </c>
      <c r="J7367" t="s">
        <v>868</v>
      </c>
      <c r="K7367" t="s">
        <v>69</v>
      </c>
      <c r="L7367">
        <v>8001323447</v>
      </c>
      <c r="N7367" t="s">
        <v>1031</v>
      </c>
    </row>
    <row r="7368" spans="3:14">
      <c r="C7368">
        <v>2100300025</v>
      </c>
      <c r="D7368">
        <v>6426000</v>
      </c>
      <c r="E7368" t="s">
        <v>188</v>
      </c>
      <c r="F7368">
        <v>5104010104</v>
      </c>
      <c r="G7368" s="13">
        <v>133250</v>
      </c>
      <c r="I7368" t="s">
        <v>150</v>
      </c>
      <c r="J7368" t="s">
        <v>864</v>
      </c>
      <c r="K7368" t="s">
        <v>69</v>
      </c>
      <c r="L7368">
        <v>8001314036</v>
      </c>
      <c r="N7368" t="s">
        <v>1031</v>
      </c>
    </row>
    <row r="7369" spans="3:14">
      <c r="C7369">
        <v>2100300025</v>
      </c>
      <c r="D7369">
        <v>6426000</v>
      </c>
      <c r="E7369" t="s">
        <v>188</v>
      </c>
      <c r="F7369">
        <v>5104010104</v>
      </c>
      <c r="G7369" s="13">
        <v>6600</v>
      </c>
      <c r="I7369" t="s">
        <v>150</v>
      </c>
      <c r="J7369" t="s">
        <v>981</v>
      </c>
      <c r="K7369" t="s">
        <v>69</v>
      </c>
      <c r="L7369">
        <v>8000492121</v>
      </c>
      <c r="N7369" t="s">
        <v>1031</v>
      </c>
    </row>
    <row r="7370" spans="3:14">
      <c r="C7370">
        <v>2100300025</v>
      </c>
      <c r="D7370">
        <v>6426000</v>
      </c>
      <c r="E7370" t="s">
        <v>188</v>
      </c>
      <c r="F7370">
        <v>5104010104</v>
      </c>
      <c r="G7370" s="13">
        <v>5804</v>
      </c>
      <c r="I7370" t="s">
        <v>150</v>
      </c>
      <c r="J7370" t="s">
        <v>982</v>
      </c>
      <c r="K7370" t="s">
        <v>69</v>
      </c>
      <c r="L7370">
        <v>8001442296</v>
      </c>
      <c r="N7370" t="s">
        <v>1031</v>
      </c>
    </row>
    <row r="7371" spans="3:14">
      <c r="C7371">
        <v>2100300025</v>
      </c>
      <c r="D7371">
        <v>6426000</v>
      </c>
      <c r="E7371" t="s">
        <v>188</v>
      </c>
      <c r="F7371">
        <v>5104010104</v>
      </c>
      <c r="G7371" s="13">
        <v>33609</v>
      </c>
      <c r="I7371" t="s">
        <v>150</v>
      </c>
      <c r="J7371" t="s">
        <v>865</v>
      </c>
      <c r="K7371" t="s">
        <v>69</v>
      </c>
      <c r="L7371">
        <v>8001429126</v>
      </c>
      <c r="N7371" t="s">
        <v>1031</v>
      </c>
    </row>
    <row r="7372" spans="3:14">
      <c r="C7372">
        <v>2100300025</v>
      </c>
      <c r="D7372">
        <v>6426000</v>
      </c>
      <c r="E7372" t="s">
        <v>188</v>
      </c>
      <c r="F7372">
        <v>5104010104</v>
      </c>
      <c r="G7372" s="13">
        <v>13139</v>
      </c>
      <c r="I7372" t="s">
        <v>150</v>
      </c>
      <c r="J7372" t="s">
        <v>985</v>
      </c>
      <c r="K7372" t="s">
        <v>69</v>
      </c>
      <c r="L7372">
        <v>8001513725</v>
      </c>
      <c r="N7372" t="s">
        <v>1031</v>
      </c>
    </row>
    <row r="7373" spans="3:14">
      <c r="C7373">
        <v>2100300025</v>
      </c>
      <c r="D7373">
        <v>6426000</v>
      </c>
      <c r="E7373" t="s">
        <v>188</v>
      </c>
      <c r="F7373">
        <v>5104010104</v>
      </c>
      <c r="G7373" s="13">
        <v>13300</v>
      </c>
      <c r="I7373" t="s">
        <v>150</v>
      </c>
      <c r="J7373" t="s">
        <v>862</v>
      </c>
      <c r="K7373" t="s">
        <v>69</v>
      </c>
      <c r="L7373">
        <v>8001328974</v>
      </c>
      <c r="N7373" t="s">
        <v>1031</v>
      </c>
    </row>
    <row r="7374" spans="3:14">
      <c r="C7374">
        <v>2100300025</v>
      </c>
      <c r="D7374">
        <v>6426000</v>
      </c>
      <c r="E7374" t="s">
        <v>188</v>
      </c>
      <c r="F7374">
        <v>5104010104</v>
      </c>
      <c r="G7374" s="13">
        <v>11790</v>
      </c>
      <c r="I7374" t="s">
        <v>150</v>
      </c>
      <c r="J7374" t="s">
        <v>557</v>
      </c>
      <c r="K7374" t="s">
        <v>69</v>
      </c>
      <c r="L7374">
        <v>8001402925</v>
      </c>
      <c r="N7374" t="s">
        <v>1031</v>
      </c>
    </row>
    <row r="7375" spans="3:14">
      <c r="C7375">
        <v>2100300025</v>
      </c>
      <c r="D7375">
        <v>6426000</v>
      </c>
      <c r="E7375" t="s">
        <v>188</v>
      </c>
      <c r="F7375">
        <v>5104010104</v>
      </c>
      <c r="G7375" s="13">
        <v>11936</v>
      </c>
      <c r="I7375" t="s">
        <v>150</v>
      </c>
      <c r="J7375" t="s">
        <v>867</v>
      </c>
      <c r="K7375" t="s">
        <v>69</v>
      </c>
      <c r="L7375">
        <v>8001403042</v>
      </c>
      <c r="N7375" t="s">
        <v>1031</v>
      </c>
    </row>
    <row r="7376" spans="3:14">
      <c r="C7376">
        <v>2100300025</v>
      </c>
      <c r="D7376">
        <v>6426000</v>
      </c>
      <c r="E7376" t="s">
        <v>188</v>
      </c>
      <c r="F7376">
        <v>5104010104</v>
      </c>
      <c r="G7376" s="13">
        <v>109750</v>
      </c>
      <c r="I7376" t="s">
        <v>150</v>
      </c>
      <c r="J7376" t="s">
        <v>985</v>
      </c>
      <c r="K7376" t="s">
        <v>69</v>
      </c>
      <c r="L7376">
        <v>8001488785</v>
      </c>
      <c r="N7376" t="s">
        <v>1031</v>
      </c>
    </row>
    <row r="7377" spans="3:14">
      <c r="C7377">
        <v>2100300025</v>
      </c>
      <c r="D7377">
        <v>6426000</v>
      </c>
      <c r="E7377" t="s">
        <v>188</v>
      </c>
      <c r="F7377">
        <v>5104010104</v>
      </c>
      <c r="G7377" s="13">
        <v>30120</v>
      </c>
      <c r="I7377" t="s">
        <v>150</v>
      </c>
      <c r="J7377" t="s">
        <v>985</v>
      </c>
      <c r="K7377" t="s">
        <v>69</v>
      </c>
      <c r="L7377">
        <v>8001490621</v>
      </c>
      <c r="N7377" t="s">
        <v>1031</v>
      </c>
    </row>
    <row r="7378" spans="3:14">
      <c r="C7378">
        <v>2100300025</v>
      </c>
      <c r="D7378">
        <v>6426000</v>
      </c>
      <c r="E7378" t="s">
        <v>188</v>
      </c>
      <c r="F7378">
        <v>5104010104</v>
      </c>
      <c r="G7378" s="13">
        <v>8750</v>
      </c>
      <c r="I7378" t="s">
        <v>150</v>
      </c>
      <c r="J7378" t="s">
        <v>983</v>
      </c>
      <c r="K7378" t="s">
        <v>69</v>
      </c>
      <c r="L7378">
        <v>8001395624</v>
      </c>
      <c r="N7378" t="s">
        <v>1031</v>
      </c>
    </row>
    <row r="7379" spans="3:14">
      <c r="C7379">
        <v>2100300025</v>
      </c>
      <c r="D7379">
        <v>6426000</v>
      </c>
      <c r="E7379" t="s">
        <v>188</v>
      </c>
      <c r="F7379">
        <v>5104010107</v>
      </c>
      <c r="G7379" s="13">
        <v>-633333</v>
      </c>
      <c r="I7379" t="s">
        <v>150</v>
      </c>
      <c r="J7379" t="s">
        <v>875</v>
      </c>
      <c r="K7379" t="s">
        <v>154</v>
      </c>
      <c r="L7379">
        <v>8001600415</v>
      </c>
      <c r="N7379" t="s">
        <v>1042</v>
      </c>
    </row>
    <row r="7380" spans="3:14">
      <c r="C7380">
        <v>2100300025</v>
      </c>
      <c r="D7380">
        <v>6426000</v>
      </c>
      <c r="E7380" t="s">
        <v>188</v>
      </c>
      <c r="F7380">
        <v>5104010107</v>
      </c>
      <c r="G7380" s="13">
        <v>46368</v>
      </c>
      <c r="I7380" t="s">
        <v>150</v>
      </c>
      <c r="J7380" t="s">
        <v>806</v>
      </c>
      <c r="K7380" t="s">
        <v>154</v>
      </c>
      <c r="L7380">
        <v>8001602911</v>
      </c>
      <c r="N7380" t="s">
        <v>1042</v>
      </c>
    </row>
    <row r="7381" spans="3:14">
      <c r="C7381">
        <v>2100300025</v>
      </c>
      <c r="D7381">
        <v>6426000</v>
      </c>
      <c r="E7381" t="s">
        <v>188</v>
      </c>
      <c r="F7381">
        <v>5104010107</v>
      </c>
      <c r="G7381" s="13">
        <v>633334</v>
      </c>
      <c r="I7381" t="s">
        <v>150</v>
      </c>
      <c r="J7381" t="s">
        <v>875</v>
      </c>
      <c r="K7381" t="s">
        <v>154</v>
      </c>
      <c r="L7381">
        <v>8001600418</v>
      </c>
      <c r="N7381" t="s">
        <v>1042</v>
      </c>
    </row>
    <row r="7382" spans="3:14">
      <c r="C7382">
        <v>2100300025</v>
      </c>
      <c r="D7382">
        <v>6426000</v>
      </c>
      <c r="E7382" t="s">
        <v>188</v>
      </c>
      <c r="F7382">
        <v>5104010107</v>
      </c>
      <c r="G7382" s="13">
        <v>69480</v>
      </c>
      <c r="I7382" t="s">
        <v>150</v>
      </c>
      <c r="J7382" t="s">
        <v>901</v>
      </c>
      <c r="K7382" t="s">
        <v>154</v>
      </c>
      <c r="L7382">
        <v>8001837685</v>
      </c>
      <c r="N7382" t="s">
        <v>1439</v>
      </c>
    </row>
    <row r="7383" spans="3:14">
      <c r="C7383">
        <v>2100300025</v>
      </c>
      <c r="D7383">
        <v>6426000</v>
      </c>
      <c r="E7383" t="s">
        <v>188</v>
      </c>
      <c r="F7383">
        <v>5104010107</v>
      </c>
      <c r="G7383" s="13">
        <v>60000</v>
      </c>
      <c r="I7383" t="s">
        <v>150</v>
      </c>
      <c r="J7383" t="s">
        <v>902</v>
      </c>
      <c r="K7383" t="s">
        <v>154</v>
      </c>
      <c r="L7383">
        <v>8000109427</v>
      </c>
      <c r="N7383" t="s">
        <v>1031</v>
      </c>
    </row>
    <row r="7384" spans="3:14">
      <c r="C7384">
        <v>2100300025</v>
      </c>
      <c r="D7384">
        <v>6426000</v>
      </c>
      <c r="E7384" t="s">
        <v>188</v>
      </c>
      <c r="F7384">
        <v>5104010107</v>
      </c>
      <c r="G7384" s="13">
        <v>402160</v>
      </c>
      <c r="I7384" t="s">
        <v>150</v>
      </c>
      <c r="J7384" t="s">
        <v>575</v>
      </c>
      <c r="K7384" t="s">
        <v>154</v>
      </c>
      <c r="L7384">
        <v>8000173559</v>
      </c>
      <c r="N7384" t="s">
        <v>1031</v>
      </c>
    </row>
    <row r="7385" spans="3:14">
      <c r="C7385">
        <v>2100300025</v>
      </c>
      <c r="D7385">
        <v>6426000</v>
      </c>
      <c r="E7385" t="s">
        <v>188</v>
      </c>
      <c r="F7385">
        <v>5104010107</v>
      </c>
      <c r="G7385" s="13">
        <v>-16585</v>
      </c>
      <c r="I7385" t="s">
        <v>150</v>
      </c>
      <c r="J7385" t="s">
        <v>916</v>
      </c>
      <c r="K7385" t="s">
        <v>154</v>
      </c>
      <c r="L7385">
        <v>8000205202</v>
      </c>
      <c r="N7385" t="s">
        <v>1042</v>
      </c>
    </row>
    <row r="7386" spans="3:14">
      <c r="C7386">
        <v>2100300025</v>
      </c>
      <c r="D7386">
        <v>6426000</v>
      </c>
      <c r="E7386" t="s">
        <v>188</v>
      </c>
      <c r="F7386">
        <v>5104010107</v>
      </c>
      <c r="G7386" s="13">
        <v>-400400</v>
      </c>
      <c r="I7386" t="s">
        <v>150</v>
      </c>
      <c r="J7386" t="s">
        <v>874</v>
      </c>
      <c r="K7386" t="s">
        <v>154</v>
      </c>
      <c r="L7386">
        <v>8000292987</v>
      </c>
      <c r="N7386" t="s">
        <v>1031</v>
      </c>
    </row>
    <row r="7387" spans="3:14">
      <c r="C7387">
        <v>2100300025</v>
      </c>
      <c r="D7387">
        <v>6426000</v>
      </c>
      <c r="E7387" t="s">
        <v>188</v>
      </c>
      <c r="F7387">
        <v>5104010107</v>
      </c>
      <c r="G7387" s="13">
        <v>38118.75</v>
      </c>
      <c r="I7387" t="s">
        <v>150</v>
      </c>
      <c r="J7387" t="s">
        <v>916</v>
      </c>
      <c r="K7387" t="s">
        <v>154</v>
      </c>
      <c r="L7387">
        <v>8000189577</v>
      </c>
      <c r="N7387" t="s">
        <v>1439</v>
      </c>
    </row>
    <row r="7388" spans="3:14">
      <c r="C7388">
        <v>2100300025</v>
      </c>
      <c r="D7388">
        <v>6426000</v>
      </c>
      <c r="E7388" t="s">
        <v>188</v>
      </c>
      <c r="F7388">
        <v>5104010107</v>
      </c>
      <c r="G7388" s="13">
        <v>402160</v>
      </c>
      <c r="I7388" t="s">
        <v>150</v>
      </c>
      <c r="J7388" t="s">
        <v>799</v>
      </c>
      <c r="K7388" t="s">
        <v>154</v>
      </c>
      <c r="L7388">
        <v>8000223892</v>
      </c>
      <c r="N7388" t="s">
        <v>1031</v>
      </c>
    </row>
    <row r="7389" spans="3:14">
      <c r="C7389">
        <v>2100300025</v>
      </c>
      <c r="D7389">
        <v>6426000</v>
      </c>
      <c r="E7389" t="s">
        <v>188</v>
      </c>
      <c r="F7389">
        <v>5104010107</v>
      </c>
      <c r="G7389" s="13">
        <v>16585</v>
      </c>
      <c r="I7389" t="s">
        <v>150</v>
      </c>
      <c r="J7389" t="s">
        <v>916</v>
      </c>
      <c r="K7389" t="s">
        <v>154</v>
      </c>
      <c r="L7389">
        <v>8000205204</v>
      </c>
      <c r="N7389" t="s">
        <v>1042</v>
      </c>
    </row>
    <row r="7390" spans="3:14">
      <c r="C7390">
        <v>2100300025</v>
      </c>
      <c r="D7390">
        <v>6426000</v>
      </c>
      <c r="E7390" t="s">
        <v>188</v>
      </c>
      <c r="F7390">
        <v>5104010104</v>
      </c>
      <c r="G7390" s="13">
        <v>8500</v>
      </c>
      <c r="I7390" t="s">
        <v>150</v>
      </c>
      <c r="J7390" t="s">
        <v>1355</v>
      </c>
      <c r="K7390" t="s">
        <v>69</v>
      </c>
      <c r="L7390">
        <v>8001265123</v>
      </c>
      <c r="N7390" t="s">
        <v>1031</v>
      </c>
    </row>
    <row r="7391" spans="3:14">
      <c r="C7391">
        <v>2100300025</v>
      </c>
      <c r="D7391">
        <v>6426000</v>
      </c>
      <c r="E7391" t="s">
        <v>188</v>
      </c>
      <c r="F7391">
        <v>5104010107</v>
      </c>
      <c r="G7391" s="13">
        <v>-5000</v>
      </c>
      <c r="I7391" t="s">
        <v>150</v>
      </c>
      <c r="J7391" t="s">
        <v>804</v>
      </c>
      <c r="K7391" t="s">
        <v>154</v>
      </c>
      <c r="L7391">
        <v>8001630695</v>
      </c>
      <c r="N7391" t="s">
        <v>1042</v>
      </c>
    </row>
    <row r="7392" spans="3:14">
      <c r="C7392">
        <v>2100300025</v>
      </c>
      <c r="D7392">
        <v>6426000</v>
      </c>
      <c r="E7392" t="s">
        <v>188</v>
      </c>
      <c r="F7392">
        <v>5104010107</v>
      </c>
      <c r="G7392" s="13">
        <v>-6420</v>
      </c>
      <c r="I7392" t="s">
        <v>150</v>
      </c>
      <c r="J7392" t="s">
        <v>806</v>
      </c>
      <c r="K7392" t="s">
        <v>154</v>
      </c>
      <c r="L7392">
        <v>8001602363</v>
      </c>
      <c r="N7392" t="s">
        <v>1042</v>
      </c>
    </row>
    <row r="7393" spans="3:14">
      <c r="C7393">
        <v>2100300025</v>
      </c>
      <c r="D7393">
        <v>6426000</v>
      </c>
      <c r="E7393" t="s">
        <v>188</v>
      </c>
      <c r="F7393">
        <v>5104010107</v>
      </c>
      <c r="G7393" s="13">
        <v>-25000</v>
      </c>
      <c r="I7393" t="s">
        <v>150</v>
      </c>
      <c r="J7393" t="s">
        <v>806</v>
      </c>
      <c r="K7393" t="s">
        <v>154</v>
      </c>
      <c r="L7393">
        <v>8001603347</v>
      </c>
      <c r="N7393" t="s">
        <v>1042</v>
      </c>
    </row>
    <row r="7394" spans="3:14">
      <c r="C7394">
        <v>2100300025</v>
      </c>
      <c r="D7394">
        <v>6426000</v>
      </c>
      <c r="E7394" t="s">
        <v>188</v>
      </c>
      <c r="F7394">
        <v>5104010107</v>
      </c>
      <c r="G7394" s="13">
        <v>10000</v>
      </c>
      <c r="I7394" t="s">
        <v>150</v>
      </c>
      <c r="J7394" t="s">
        <v>878</v>
      </c>
      <c r="K7394" t="s">
        <v>154</v>
      </c>
      <c r="L7394">
        <v>8001609603</v>
      </c>
      <c r="N7394" t="s">
        <v>1042</v>
      </c>
    </row>
    <row r="7395" spans="3:14">
      <c r="C7395">
        <v>2100300025</v>
      </c>
      <c r="D7395">
        <v>6426000</v>
      </c>
      <c r="E7395" t="s">
        <v>188</v>
      </c>
      <c r="F7395">
        <v>5104010107</v>
      </c>
      <c r="G7395" s="13">
        <v>25000</v>
      </c>
      <c r="I7395" t="s">
        <v>150</v>
      </c>
      <c r="J7395" t="s">
        <v>806</v>
      </c>
      <c r="K7395" t="s">
        <v>154</v>
      </c>
      <c r="L7395">
        <v>8001602478</v>
      </c>
      <c r="N7395" t="s">
        <v>1042</v>
      </c>
    </row>
    <row r="7396" spans="3:14">
      <c r="C7396">
        <v>2100300025</v>
      </c>
      <c r="D7396">
        <v>6426000</v>
      </c>
      <c r="E7396" t="s">
        <v>188</v>
      </c>
      <c r="F7396">
        <v>5104010107</v>
      </c>
      <c r="G7396" s="13">
        <v>313500</v>
      </c>
      <c r="I7396" t="s">
        <v>150</v>
      </c>
      <c r="J7396" t="s">
        <v>806</v>
      </c>
      <c r="K7396" t="s">
        <v>154</v>
      </c>
      <c r="L7396">
        <v>8001602836</v>
      </c>
      <c r="N7396" t="s">
        <v>1042</v>
      </c>
    </row>
    <row r="7397" spans="3:14">
      <c r="C7397">
        <v>2100300025</v>
      </c>
      <c r="D7397">
        <v>6426000</v>
      </c>
      <c r="E7397" t="s">
        <v>188</v>
      </c>
      <c r="F7397">
        <v>5104010107</v>
      </c>
      <c r="G7397" s="13">
        <v>6000</v>
      </c>
      <c r="I7397" t="s">
        <v>150</v>
      </c>
      <c r="J7397" t="s">
        <v>875</v>
      </c>
      <c r="K7397" t="s">
        <v>154</v>
      </c>
      <c r="L7397">
        <v>8001599776</v>
      </c>
      <c r="N7397" t="s">
        <v>1042</v>
      </c>
    </row>
    <row r="7398" spans="3:14">
      <c r="C7398">
        <v>2100300025</v>
      </c>
      <c r="D7398">
        <v>6426000</v>
      </c>
      <c r="E7398" t="s">
        <v>188</v>
      </c>
      <c r="F7398">
        <v>5104010107</v>
      </c>
      <c r="G7398" s="13">
        <v>6420</v>
      </c>
      <c r="I7398" t="s">
        <v>150</v>
      </c>
      <c r="J7398" t="s">
        <v>806</v>
      </c>
      <c r="K7398" t="s">
        <v>154</v>
      </c>
      <c r="L7398">
        <v>8001601021</v>
      </c>
      <c r="N7398" t="s">
        <v>1042</v>
      </c>
    </row>
    <row r="7399" spans="3:14">
      <c r="C7399">
        <v>2100300025</v>
      </c>
      <c r="D7399">
        <v>6426000</v>
      </c>
      <c r="E7399" t="s">
        <v>188</v>
      </c>
      <c r="F7399">
        <v>5104010107</v>
      </c>
      <c r="G7399" s="13">
        <v>600000</v>
      </c>
      <c r="I7399" t="s">
        <v>150</v>
      </c>
      <c r="J7399" t="s">
        <v>875</v>
      </c>
      <c r="K7399" t="s">
        <v>154</v>
      </c>
      <c r="L7399">
        <v>8001599492</v>
      </c>
      <c r="N7399" t="s">
        <v>1042</v>
      </c>
    </row>
    <row r="7400" spans="3:14">
      <c r="C7400">
        <v>2100300025</v>
      </c>
      <c r="D7400">
        <v>6426000</v>
      </c>
      <c r="E7400" t="s">
        <v>188</v>
      </c>
      <c r="F7400">
        <v>5104010107</v>
      </c>
      <c r="G7400" s="13">
        <v>12500</v>
      </c>
      <c r="I7400" t="s">
        <v>150</v>
      </c>
      <c r="J7400" t="s">
        <v>1052</v>
      </c>
      <c r="K7400" t="s">
        <v>154</v>
      </c>
      <c r="L7400">
        <v>8001596849</v>
      </c>
      <c r="N7400" t="s">
        <v>1042</v>
      </c>
    </row>
    <row r="7401" spans="3:14">
      <c r="C7401">
        <v>2100300025</v>
      </c>
      <c r="D7401">
        <v>6426000</v>
      </c>
      <c r="E7401" t="s">
        <v>188</v>
      </c>
      <c r="F7401">
        <v>5104010107</v>
      </c>
      <c r="G7401" s="13">
        <v>37500</v>
      </c>
      <c r="I7401" t="s">
        <v>150</v>
      </c>
      <c r="J7401" t="s">
        <v>875</v>
      </c>
      <c r="K7401" t="s">
        <v>154</v>
      </c>
      <c r="L7401">
        <v>8001599849</v>
      </c>
      <c r="N7401" t="s">
        <v>1042</v>
      </c>
    </row>
    <row r="7402" spans="3:14">
      <c r="C7402">
        <v>2100300025</v>
      </c>
      <c r="D7402">
        <v>6426000</v>
      </c>
      <c r="E7402" t="s">
        <v>188</v>
      </c>
      <c r="F7402">
        <v>5104010107</v>
      </c>
      <c r="G7402" s="13">
        <v>18000</v>
      </c>
      <c r="I7402" t="s">
        <v>150</v>
      </c>
      <c r="J7402" t="s">
        <v>998</v>
      </c>
      <c r="K7402" t="s">
        <v>154</v>
      </c>
      <c r="L7402">
        <v>8001712714</v>
      </c>
      <c r="N7402" t="s">
        <v>1439</v>
      </c>
    </row>
    <row r="7403" spans="3:14">
      <c r="C7403">
        <v>2100300025</v>
      </c>
      <c r="D7403">
        <v>6426000</v>
      </c>
      <c r="E7403" t="s">
        <v>188</v>
      </c>
      <c r="F7403">
        <v>5104010107</v>
      </c>
      <c r="G7403" s="13">
        <v>12800</v>
      </c>
      <c r="I7403" t="s">
        <v>150</v>
      </c>
      <c r="J7403" t="s">
        <v>885</v>
      </c>
      <c r="K7403" t="s">
        <v>154</v>
      </c>
      <c r="L7403">
        <v>8001712721</v>
      </c>
      <c r="N7403" t="s">
        <v>1039</v>
      </c>
    </row>
    <row r="7404" spans="3:14">
      <c r="C7404">
        <v>2100300025</v>
      </c>
      <c r="D7404">
        <v>6426000</v>
      </c>
      <c r="E7404" t="s">
        <v>188</v>
      </c>
      <c r="F7404">
        <v>5104010107</v>
      </c>
      <c r="G7404" s="13">
        <v>5600</v>
      </c>
      <c r="I7404" t="s">
        <v>150</v>
      </c>
      <c r="J7404" t="s">
        <v>1207</v>
      </c>
      <c r="K7404" t="s">
        <v>154</v>
      </c>
      <c r="L7404">
        <v>8001712723</v>
      </c>
      <c r="N7404" t="s">
        <v>1042</v>
      </c>
    </row>
    <row r="7405" spans="3:14">
      <c r="C7405">
        <v>2100300025</v>
      </c>
      <c r="D7405">
        <v>6426000</v>
      </c>
      <c r="E7405" t="s">
        <v>188</v>
      </c>
      <c r="F7405">
        <v>5104010107</v>
      </c>
      <c r="G7405" s="13">
        <v>11800</v>
      </c>
      <c r="I7405" t="s">
        <v>150</v>
      </c>
      <c r="J7405" t="s">
        <v>811</v>
      </c>
      <c r="K7405" t="s">
        <v>154</v>
      </c>
      <c r="L7405">
        <v>8001712724</v>
      </c>
      <c r="N7405" t="s">
        <v>1039</v>
      </c>
    </row>
    <row r="7406" spans="3:14">
      <c r="C7406">
        <v>2100300025</v>
      </c>
      <c r="D7406">
        <v>6426000</v>
      </c>
      <c r="E7406" t="s">
        <v>188</v>
      </c>
      <c r="F7406">
        <v>5104010107</v>
      </c>
      <c r="G7406" s="13">
        <v>-25800</v>
      </c>
      <c r="I7406" t="s">
        <v>150</v>
      </c>
      <c r="J7406" t="s">
        <v>817</v>
      </c>
      <c r="K7406" t="s">
        <v>154</v>
      </c>
      <c r="L7406">
        <v>8001851145</v>
      </c>
      <c r="N7406" t="s">
        <v>1031</v>
      </c>
    </row>
    <row r="7407" spans="3:14">
      <c r="C7407">
        <v>2100300025</v>
      </c>
      <c r="D7407">
        <v>6426000</v>
      </c>
      <c r="E7407" t="s">
        <v>188</v>
      </c>
      <c r="F7407">
        <v>5104010107</v>
      </c>
      <c r="G7407" s="13">
        <v>80250</v>
      </c>
      <c r="I7407" t="s">
        <v>150</v>
      </c>
      <c r="J7407" t="s">
        <v>573</v>
      </c>
      <c r="K7407" t="s">
        <v>154</v>
      </c>
      <c r="L7407">
        <v>8001865710</v>
      </c>
      <c r="N7407" t="s">
        <v>1031</v>
      </c>
    </row>
    <row r="7408" spans="3:14">
      <c r="C7408">
        <v>2100300025</v>
      </c>
      <c r="D7408">
        <v>6426000</v>
      </c>
      <c r="E7408" t="s">
        <v>188</v>
      </c>
      <c r="F7408">
        <v>5104010107</v>
      </c>
      <c r="G7408" s="13">
        <v>11000</v>
      </c>
      <c r="I7408" t="s">
        <v>150</v>
      </c>
      <c r="J7408" t="s">
        <v>902</v>
      </c>
      <c r="K7408" t="s">
        <v>154</v>
      </c>
      <c r="L7408">
        <v>8000024995</v>
      </c>
      <c r="N7408" t="s">
        <v>1031</v>
      </c>
    </row>
    <row r="7409" spans="3:14">
      <c r="C7409">
        <v>2100300025</v>
      </c>
      <c r="D7409">
        <v>6426000</v>
      </c>
      <c r="E7409" t="s">
        <v>188</v>
      </c>
      <c r="F7409">
        <v>5104010107</v>
      </c>
      <c r="G7409" s="13">
        <v>63772</v>
      </c>
      <c r="I7409" t="s">
        <v>150</v>
      </c>
      <c r="J7409" t="s">
        <v>905</v>
      </c>
      <c r="K7409" t="s">
        <v>154</v>
      </c>
      <c r="L7409">
        <v>8000064189</v>
      </c>
      <c r="N7409" t="s">
        <v>1031</v>
      </c>
    </row>
    <row r="7410" spans="3:14">
      <c r="C7410">
        <v>2100300025</v>
      </c>
      <c r="D7410">
        <v>6426000</v>
      </c>
      <c r="E7410" t="s">
        <v>188</v>
      </c>
      <c r="F7410">
        <v>5104010107</v>
      </c>
      <c r="G7410" s="13">
        <v>160000</v>
      </c>
      <c r="I7410" t="s">
        <v>150</v>
      </c>
      <c r="J7410" t="s">
        <v>902</v>
      </c>
      <c r="K7410" t="s">
        <v>154</v>
      </c>
      <c r="L7410">
        <v>8000109071</v>
      </c>
      <c r="N7410" t="s">
        <v>1031</v>
      </c>
    </row>
    <row r="7411" spans="3:14">
      <c r="C7411">
        <v>2100300025</v>
      </c>
      <c r="D7411">
        <v>6426000</v>
      </c>
      <c r="E7411" t="s">
        <v>188</v>
      </c>
      <c r="F7411">
        <v>5104010107</v>
      </c>
      <c r="G7411" s="13">
        <v>37500</v>
      </c>
      <c r="I7411" t="s">
        <v>150</v>
      </c>
      <c r="J7411" t="s">
        <v>902</v>
      </c>
      <c r="K7411" t="s">
        <v>154</v>
      </c>
      <c r="L7411">
        <v>8000020334</v>
      </c>
      <c r="N7411" t="s">
        <v>1031</v>
      </c>
    </row>
    <row r="7412" spans="3:14">
      <c r="C7412">
        <v>2100300025</v>
      </c>
      <c r="D7412">
        <v>6426000</v>
      </c>
      <c r="E7412" t="s">
        <v>188</v>
      </c>
      <c r="F7412">
        <v>5104010107</v>
      </c>
      <c r="G7412" s="13">
        <v>6000</v>
      </c>
      <c r="I7412" t="s">
        <v>150</v>
      </c>
      <c r="J7412" t="s">
        <v>902</v>
      </c>
      <c r="K7412" t="s">
        <v>154</v>
      </c>
      <c r="L7412">
        <v>8000018703</v>
      </c>
      <c r="N7412" t="s">
        <v>1031</v>
      </c>
    </row>
    <row r="7413" spans="3:14">
      <c r="C7413">
        <v>2100300025</v>
      </c>
      <c r="D7413">
        <v>6426000</v>
      </c>
      <c r="E7413" t="s">
        <v>188</v>
      </c>
      <c r="F7413">
        <v>5104010107</v>
      </c>
      <c r="G7413" s="13">
        <v>10000</v>
      </c>
      <c r="I7413" t="s">
        <v>150</v>
      </c>
      <c r="J7413" t="s">
        <v>575</v>
      </c>
      <c r="K7413" t="s">
        <v>154</v>
      </c>
      <c r="L7413">
        <v>8000185481</v>
      </c>
      <c r="N7413" t="s">
        <v>1031</v>
      </c>
    </row>
    <row r="7414" spans="3:14">
      <c r="C7414">
        <v>2100300025</v>
      </c>
      <c r="D7414">
        <v>6426000</v>
      </c>
      <c r="E7414" t="s">
        <v>188</v>
      </c>
      <c r="F7414">
        <v>5104010107</v>
      </c>
      <c r="G7414" s="13">
        <v>63772</v>
      </c>
      <c r="I7414" t="s">
        <v>150</v>
      </c>
      <c r="J7414" t="s">
        <v>905</v>
      </c>
      <c r="K7414" t="s">
        <v>154</v>
      </c>
      <c r="L7414">
        <v>8000089672</v>
      </c>
      <c r="N7414" t="s">
        <v>1031</v>
      </c>
    </row>
    <row r="7415" spans="3:14">
      <c r="C7415">
        <v>2100300025</v>
      </c>
      <c r="D7415">
        <v>6426000</v>
      </c>
      <c r="E7415" t="s">
        <v>188</v>
      </c>
      <c r="F7415">
        <v>5104010107</v>
      </c>
      <c r="G7415" s="13">
        <v>37500</v>
      </c>
      <c r="I7415" t="s">
        <v>150</v>
      </c>
      <c r="J7415" t="s">
        <v>902</v>
      </c>
      <c r="K7415" t="s">
        <v>154</v>
      </c>
      <c r="L7415">
        <v>8000045070</v>
      </c>
      <c r="N7415" t="s">
        <v>1031</v>
      </c>
    </row>
    <row r="7416" spans="3:14">
      <c r="C7416">
        <v>2100300025</v>
      </c>
      <c r="D7416">
        <v>6426000</v>
      </c>
      <c r="E7416" t="s">
        <v>188</v>
      </c>
      <c r="F7416">
        <v>5104010107</v>
      </c>
      <c r="G7416" s="13">
        <v>35000</v>
      </c>
      <c r="I7416" t="s">
        <v>150</v>
      </c>
      <c r="J7416" t="s">
        <v>902</v>
      </c>
      <c r="K7416" t="s">
        <v>154</v>
      </c>
      <c r="L7416">
        <v>8000121136</v>
      </c>
      <c r="N7416" t="s">
        <v>1031</v>
      </c>
    </row>
    <row r="7417" spans="3:14">
      <c r="C7417">
        <v>2100300025</v>
      </c>
      <c r="D7417">
        <v>6426000</v>
      </c>
      <c r="E7417" t="s">
        <v>188</v>
      </c>
      <c r="F7417">
        <v>5104010107</v>
      </c>
      <c r="G7417" s="13">
        <v>46366</v>
      </c>
      <c r="I7417" t="s">
        <v>150</v>
      </c>
      <c r="J7417" t="s">
        <v>575</v>
      </c>
      <c r="K7417" t="s">
        <v>154</v>
      </c>
      <c r="L7417">
        <v>8000211635</v>
      </c>
      <c r="N7417" t="s">
        <v>1439</v>
      </c>
    </row>
    <row r="7418" spans="3:14">
      <c r="C7418">
        <v>2100300025</v>
      </c>
      <c r="D7418">
        <v>6426000</v>
      </c>
      <c r="E7418" t="s">
        <v>188</v>
      </c>
      <c r="F7418">
        <v>5104010107</v>
      </c>
      <c r="G7418" s="13">
        <v>-402160</v>
      </c>
      <c r="I7418" t="s">
        <v>150</v>
      </c>
      <c r="J7418" t="s">
        <v>914</v>
      </c>
      <c r="K7418" t="s">
        <v>154</v>
      </c>
      <c r="L7418">
        <v>8000223648</v>
      </c>
      <c r="N7418" t="s">
        <v>1031</v>
      </c>
    </row>
    <row r="7419" spans="3:14">
      <c r="C7419">
        <v>2100300025</v>
      </c>
      <c r="D7419">
        <v>6426000</v>
      </c>
      <c r="E7419" t="s">
        <v>188</v>
      </c>
      <c r="F7419">
        <v>5104010107</v>
      </c>
      <c r="G7419" s="13">
        <v>-240000</v>
      </c>
      <c r="I7419" t="s">
        <v>150</v>
      </c>
      <c r="J7419" t="s">
        <v>915</v>
      </c>
      <c r="K7419" t="s">
        <v>154</v>
      </c>
      <c r="L7419">
        <v>8000221373</v>
      </c>
      <c r="N7419" t="s">
        <v>1439</v>
      </c>
    </row>
    <row r="7420" spans="3:14">
      <c r="C7420">
        <v>2100300025</v>
      </c>
      <c r="D7420">
        <v>6426000</v>
      </c>
      <c r="E7420" t="s">
        <v>188</v>
      </c>
      <c r="F7420">
        <v>5104010107</v>
      </c>
      <c r="G7420" s="13">
        <v>-402160</v>
      </c>
      <c r="I7420" t="s">
        <v>150</v>
      </c>
      <c r="J7420" t="s">
        <v>920</v>
      </c>
      <c r="K7420" t="s">
        <v>154</v>
      </c>
      <c r="L7420">
        <v>8000210880</v>
      </c>
      <c r="N7420" t="s">
        <v>1031</v>
      </c>
    </row>
    <row r="7421" spans="3:14">
      <c r="C7421">
        <v>2100300025</v>
      </c>
      <c r="D7421">
        <v>6426000</v>
      </c>
      <c r="E7421" t="s">
        <v>188</v>
      </c>
      <c r="F7421">
        <v>5104010107</v>
      </c>
      <c r="G7421" s="13">
        <v>-2266666</v>
      </c>
      <c r="I7421" t="s">
        <v>150</v>
      </c>
      <c r="J7421" t="s">
        <v>799</v>
      </c>
      <c r="K7421" t="s">
        <v>154</v>
      </c>
      <c r="L7421">
        <v>8000170548</v>
      </c>
      <c r="N7421" t="s">
        <v>1031</v>
      </c>
    </row>
    <row r="7422" spans="3:14">
      <c r="C7422">
        <v>2100300025</v>
      </c>
      <c r="D7422">
        <v>6426000</v>
      </c>
      <c r="E7422" t="s">
        <v>188</v>
      </c>
      <c r="F7422">
        <v>5104010107</v>
      </c>
      <c r="G7422" s="13">
        <v>-8977</v>
      </c>
      <c r="I7422" t="s">
        <v>150</v>
      </c>
      <c r="J7422" t="s">
        <v>799</v>
      </c>
      <c r="K7422" t="s">
        <v>154</v>
      </c>
      <c r="L7422">
        <v>8000170580</v>
      </c>
      <c r="N7422" t="s">
        <v>1031</v>
      </c>
    </row>
    <row r="7423" spans="3:14">
      <c r="C7423">
        <v>2100300025</v>
      </c>
      <c r="D7423">
        <v>6426000</v>
      </c>
      <c r="E7423" t="s">
        <v>188</v>
      </c>
      <c r="F7423">
        <v>5104010107</v>
      </c>
      <c r="G7423" s="13">
        <v>-16585</v>
      </c>
      <c r="I7423" t="s">
        <v>150</v>
      </c>
      <c r="J7423" t="s">
        <v>916</v>
      </c>
      <c r="K7423" t="s">
        <v>154</v>
      </c>
      <c r="L7423">
        <v>8000205207</v>
      </c>
      <c r="N7423" t="s">
        <v>1042</v>
      </c>
    </row>
    <row r="7424" spans="3:14">
      <c r="C7424">
        <v>2100300025</v>
      </c>
      <c r="D7424">
        <v>6426000</v>
      </c>
      <c r="E7424" t="s">
        <v>188</v>
      </c>
      <c r="F7424">
        <v>5104010107</v>
      </c>
      <c r="G7424" s="13">
        <v>-65802</v>
      </c>
      <c r="I7424" t="s">
        <v>150</v>
      </c>
      <c r="J7424" t="s">
        <v>826</v>
      </c>
      <c r="K7424" t="s">
        <v>154</v>
      </c>
      <c r="L7424">
        <v>8000234437</v>
      </c>
      <c r="N7424" t="s">
        <v>1031</v>
      </c>
    </row>
    <row r="7425" spans="3:14">
      <c r="C7425">
        <v>2100300025</v>
      </c>
      <c r="D7425">
        <v>6426000</v>
      </c>
      <c r="E7425" t="s">
        <v>188</v>
      </c>
      <c r="F7425">
        <v>5104010107</v>
      </c>
      <c r="G7425" s="13">
        <v>-35000</v>
      </c>
      <c r="I7425" t="s">
        <v>150</v>
      </c>
      <c r="J7425" t="s">
        <v>799</v>
      </c>
      <c r="K7425" t="s">
        <v>154</v>
      </c>
      <c r="L7425">
        <v>8000291266</v>
      </c>
      <c r="N7425" t="s">
        <v>1031</v>
      </c>
    </row>
    <row r="7426" spans="3:14">
      <c r="C7426">
        <v>2100300025</v>
      </c>
      <c r="D7426">
        <v>6426000</v>
      </c>
      <c r="E7426" t="s">
        <v>188</v>
      </c>
      <c r="F7426">
        <v>5104010107</v>
      </c>
      <c r="G7426" s="13">
        <v>-6000</v>
      </c>
      <c r="I7426" t="s">
        <v>150</v>
      </c>
      <c r="J7426" t="s">
        <v>799</v>
      </c>
      <c r="K7426" t="s">
        <v>154</v>
      </c>
      <c r="L7426">
        <v>8000283689</v>
      </c>
      <c r="N7426" t="s">
        <v>1439</v>
      </c>
    </row>
    <row r="7427" spans="3:14">
      <c r="C7427">
        <v>2100300025</v>
      </c>
      <c r="D7427">
        <v>6426000</v>
      </c>
      <c r="E7427" t="s">
        <v>188</v>
      </c>
      <c r="F7427">
        <v>5104010107</v>
      </c>
      <c r="G7427" s="13">
        <v>-400400</v>
      </c>
      <c r="I7427" t="s">
        <v>150</v>
      </c>
      <c r="J7427" t="s">
        <v>1185</v>
      </c>
      <c r="K7427" t="s">
        <v>154</v>
      </c>
      <c r="L7427">
        <v>8000283805</v>
      </c>
      <c r="N7427" t="s">
        <v>1031</v>
      </c>
    </row>
    <row r="7428" spans="3:14">
      <c r="C7428">
        <v>2100300025</v>
      </c>
      <c r="D7428">
        <v>6426000</v>
      </c>
      <c r="E7428" t="s">
        <v>188</v>
      </c>
      <c r="F7428">
        <v>5104010107</v>
      </c>
      <c r="G7428" s="13">
        <v>-35000</v>
      </c>
      <c r="I7428" t="s">
        <v>150</v>
      </c>
      <c r="J7428" t="s">
        <v>799</v>
      </c>
      <c r="K7428" t="s">
        <v>154</v>
      </c>
      <c r="L7428">
        <v>8000283811</v>
      </c>
      <c r="N7428" t="s">
        <v>1031</v>
      </c>
    </row>
    <row r="7429" spans="3:14">
      <c r="C7429">
        <v>2100300025</v>
      </c>
      <c r="D7429">
        <v>6426000</v>
      </c>
      <c r="E7429" t="s">
        <v>188</v>
      </c>
      <c r="F7429">
        <v>5104010107</v>
      </c>
      <c r="G7429" s="13">
        <v>65802</v>
      </c>
      <c r="I7429" t="s">
        <v>150</v>
      </c>
      <c r="J7429" t="s">
        <v>826</v>
      </c>
      <c r="K7429" t="s">
        <v>154</v>
      </c>
      <c r="L7429">
        <v>8000219239</v>
      </c>
      <c r="N7429" t="s">
        <v>1031</v>
      </c>
    </row>
    <row r="7430" spans="3:14">
      <c r="C7430">
        <v>2100300025</v>
      </c>
      <c r="D7430">
        <v>6426000</v>
      </c>
      <c r="E7430" t="s">
        <v>188</v>
      </c>
      <c r="F7430">
        <v>5104010107</v>
      </c>
      <c r="G7430" s="13">
        <v>240000</v>
      </c>
      <c r="I7430" t="s">
        <v>150</v>
      </c>
      <c r="J7430" t="s">
        <v>915</v>
      </c>
      <c r="K7430" t="s">
        <v>154</v>
      </c>
      <c r="L7430">
        <v>8000219241</v>
      </c>
      <c r="N7430" t="s">
        <v>1439</v>
      </c>
    </row>
    <row r="7431" spans="3:14">
      <c r="C7431">
        <v>2100300025</v>
      </c>
      <c r="D7431">
        <v>6426000</v>
      </c>
      <c r="E7431" t="s">
        <v>188</v>
      </c>
      <c r="F7431">
        <v>5104010107</v>
      </c>
      <c r="G7431" s="13">
        <v>16585</v>
      </c>
      <c r="I7431" t="s">
        <v>150</v>
      </c>
      <c r="J7431" t="s">
        <v>916</v>
      </c>
      <c r="K7431" t="s">
        <v>154</v>
      </c>
      <c r="L7431">
        <v>8000219481</v>
      </c>
      <c r="N7431" t="s">
        <v>1042</v>
      </c>
    </row>
    <row r="7432" spans="3:14">
      <c r="C7432">
        <v>2100300025</v>
      </c>
      <c r="D7432">
        <v>6426000</v>
      </c>
      <c r="E7432" t="s">
        <v>188</v>
      </c>
      <c r="F7432">
        <v>5104010107</v>
      </c>
      <c r="G7432" s="13">
        <v>240000</v>
      </c>
      <c r="I7432" t="s">
        <v>150</v>
      </c>
      <c r="J7432" t="s">
        <v>914</v>
      </c>
      <c r="K7432" t="s">
        <v>154</v>
      </c>
      <c r="L7432">
        <v>8000218047</v>
      </c>
      <c r="N7432" t="s">
        <v>1439</v>
      </c>
    </row>
    <row r="7433" spans="3:14">
      <c r="C7433">
        <v>2100300025</v>
      </c>
      <c r="D7433">
        <v>6426000</v>
      </c>
      <c r="E7433" t="s">
        <v>188</v>
      </c>
      <c r="F7433">
        <v>5104010107</v>
      </c>
      <c r="G7433" s="13">
        <v>6955</v>
      </c>
      <c r="I7433" t="s">
        <v>150</v>
      </c>
      <c r="J7433" t="s">
        <v>916</v>
      </c>
      <c r="K7433" t="s">
        <v>154</v>
      </c>
      <c r="L7433">
        <v>8000217878</v>
      </c>
      <c r="N7433" t="s">
        <v>1439</v>
      </c>
    </row>
    <row r="7434" spans="3:14">
      <c r="C7434">
        <v>2100300025</v>
      </c>
      <c r="D7434">
        <v>6426000</v>
      </c>
      <c r="E7434" t="s">
        <v>188</v>
      </c>
      <c r="F7434">
        <v>5104010107</v>
      </c>
      <c r="G7434" s="13">
        <v>805000</v>
      </c>
      <c r="I7434" t="s">
        <v>150</v>
      </c>
      <c r="J7434" t="s">
        <v>799</v>
      </c>
      <c r="K7434" t="s">
        <v>154</v>
      </c>
      <c r="L7434">
        <v>8000171344</v>
      </c>
      <c r="N7434" t="s">
        <v>1031</v>
      </c>
    </row>
    <row r="7435" spans="3:14">
      <c r="C7435">
        <v>2100300025</v>
      </c>
      <c r="D7435">
        <v>6426000</v>
      </c>
      <c r="E7435" t="s">
        <v>188</v>
      </c>
      <c r="F7435">
        <v>5104010107</v>
      </c>
      <c r="G7435" s="13">
        <v>131929.93</v>
      </c>
      <c r="I7435" t="s">
        <v>150</v>
      </c>
      <c r="J7435" t="s">
        <v>1189</v>
      </c>
      <c r="K7435" t="s">
        <v>154</v>
      </c>
      <c r="L7435">
        <v>8000205007</v>
      </c>
      <c r="N7435" t="s">
        <v>1031</v>
      </c>
    </row>
    <row r="7436" spans="3:14">
      <c r="C7436">
        <v>2100300025</v>
      </c>
      <c r="D7436">
        <v>6426000</v>
      </c>
      <c r="E7436" t="s">
        <v>188</v>
      </c>
      <c r="F7436">
        <v>5104010107</v>
      </c>
      <c r="G7436" s="13">
        <v>805000</v>
      </c>
      <c r="I7436" t="s">
        <v>150</v>
      </c>
      <c r="J7436" t="s">
        <v>799</v>
      </c>
      <c r="K7436" t="s">
        <v>154</v>
      </c>
      <c r="L7436">
        <v>8000163814</v>
      </c>
      <c r="N7436" t="s">
        <v>1031</v>
      </c>
    </row>
    <row r="7437" spans="3:14">
      <c r="C7437">
        <v>2100300025</v>
      </c>
      <c r="D7437">
        <v>6426000</v>
      </c>
      <c r="E7437" t="s">
        <v>188</v>
      </c>
      <c r="F7437">
        <v>5104010107</v>
      </c>
      <c r="G7437" s="13">
        <v>160000</v>
      </c>
      <c r="I7437" t="s">
        <v>150</v>
      </c>
      <c r="J7437" t="s">
        <v>875</v>
      </c>
      <c r="K7437" t="s">
        <v>154</v>
      </c>
      <c r="L7437">
        <v>8001596856</v>
      </c>
      <c r="N7437" t="s">
        <v>1042</v>
      </c>
    </row>
    <row r="7438" spans="3:14">
      <c r="C7438">
        <v>2100300025</v>
      </c>
      <c r="D7438">
        <v>6426000</v>
      </c>
      <c r="E7438" t="s">
        <v>188</v>
      </c>
      <c r="F7438">
        <v>5104010107</v>
      </c>
      <c r="G7438" s="13">
        <v>-80250</v>
      </c>
      <c r="I7438" t="s">
        <v>150</v>
      </c>
      <c r="J7438" t="s">
        <v>573</v>
      </c>
      <c r="K7438" t="s">
        <v>154</v>
      </c>
      <c r="L7438">
        <v>8001865281</v>
      </c>
      <c r="N7438" t="s">
        <v>1031</v>
      </c>
    </row>
    <row r="7439" spans="3:14">
      <c r="C7439">
        <v>2100300025</v>
      </c>
      <c r="D7439">
        <v>6426000</v>
      </c>
      <c r="E7439" t="s">
        <v>188</v>
      </c>
      <c r="F7439">
        <v>5104010107</v>
      </c>
      <c r="G7439" s="13">
        <v>42650</v>
      </c>
      <c r="I7439" t="s">
        <v>150</v>
      </c>
      <c r="J7439" t="s">
        <v>813</v>
      </c>
      <c r="K7439" t="s">
        <v>154</v>
      </c>
      <c r="L7439">
        <v>8001872656</v>
      </c>
      <c r="N7439" t="s">
        <v>1436</v>
      </c>
    </row>
    <row r="7440" spans="3:14">
      <c r="C7440">
        <v>2100300025</v>
      </c>
      <c r="D7440">
        <v>6426000</v>
      </c>
      <c r="E7440" t="s">
        <v>188</v>
      </c>
      <c r="F7440">
        <v>5104010107</v>
      </c>
      <c r="G7440" s="13">
        <v>28000</v>
      </c>
      <c r="I7440" t="s">
        <v>150</v>
      </c>
      <c r="J7440" t="s">
        <v>799</v>
      </c>
      <c r="K7440" t="s">
        <v>154</v>
      </c>
      <c r="L7440">
        <v>8000171384</v>
      </c>
      <c r="N7440" t="s">
        <v>1031</v>
      </c>
    </row>
    <row r="7441" spans="3:14">
      <c r="C7441">
        <v>2100300025</v>
      </c>
      <c r="D7441">
        <v>6426000</v>
      </c>
      <c r="E7441" t="s">
        <v>188</v>
      </c>
      <c r="F7441">
        <v>5104010107</v>
      </c>
      <c r="G7441" s="13">
        <v>35000</v>
      </c>
      <c r="I7441" t="s">
        <v>150</v>
      </c>
      <c r="J7441" t="s">
        <v>799</v>
      </c>
      <c r="K7441" t="s">
        <v>154</v>
      </c>
      <c r="L7441">
        <v>8000233954</v>
      </c>
      <c r="N7441" t="s">
        <v>1031</v>
      </c>
    </row>
    <row r="7442" spans="3:14">
      <c r="C7442">
        <v>2100300025</v>
      </c>
      <c r="D7442">
        <v>6426000</v>
      </c>
      <c r="E7442" t="s">
        <v>188</v>
      </c>
      <c r="F7442">
        <v>5104010107</v>
      </c>
      <c r="G7442" s="13">
        <v>400400</v>
      </c>
      <c r="I7442" t="s">
        <v>150</v>
      </c>
      <c r="J7442" t="s">
        <v>577</v>
      </c>
      <c r="K7442" t="s">
        <v>154</v>
      </c>
      <c r="L7442">
        <v>8000293615</v>
      </c>
      <c r="N7442" t="s">
        <v>1031</v>
      </c>
    </row>
    <row r="7443" spans="3:14">
      <c r="C7443">
        <v>2100300025</v>
      </c>
      <c r="D7443">
        <v>6426000</v>
      </c>
      <c r="E7443" t="s">
        <v>188</v>
      </c>
      <c r="F7443">
        <v>5104010107</v>
      </c>
      <c r="G7443" s="13">
        <v>400400</v>
      </c>
      <c r="I7443" t="s">
        <v>150</v>
      </c>
      <c r="J7443" t="s">
        <v>874</v>
      </c>
      <c r="K7443" t="s">
        <v>154</v>
      </c>
      <c r="L7443">
        <v>8000283807</v>
      </c>
      <c r="N7443" t="s">
        <v>1031</v>
      </c>
    </row>
    <row r="7444" spans="3:14">
      <c r="C7444">
        <v>2100300025</v>
      </c>
      <c r="D7444">
        <v>6426000</v>
      </c>
      <c r="E7444" t="s">
        <v>188</v>
      </c>
      <c r="F7444">
        <v>5104010107</v>
      </c>
      <c r="G7444" s="13">
        <v>97965</v>
      </c>
      <c r="I7444" t="s">
        <v>150</v>
      </c>
      <c r="J7444" t="s">
        <v>563</v>
      </c>
      <c r="K7444" t="s">
        <v>154</v>
      </c>
      <c r="L7444">
        <v>8000480131</v>
      </c>
      <c r="N7444" t="s">
        <v>1039</v>
      </c>
    </row>
    <row r="7445" spans="3:14">
      <c r="C7445">
        <v>2100300025</v>
      </c>
      <c r="D7445">
        <v>6426000</v>
      </c>
      <c r="E7445" t="s">
        <v>188</v>
      </c>
      <c r="F7445">
        <v>5104010107</v>
      </c>
      <c r="G7445" s="13">
        <v>-5136</v>
      </c>
      <c r="I7445" t="s">
        <v>150</v>
      </c>
      <c r="J7445" t="s">
        <v>937</v>
      </c>
      <c r="K7445" t="s">
        <v>154</v>
      </c>
      <c r="L7445">
        <v>8000576793</v>
      </c>
      <c r="N7445" t="s">
        <v>1031</v>
      </c>
    </row>
    <row r="7446" spans="3:14">
      <c r="C7446">
        <v>2100300025</v>
      </c>
      <c r="D7446">
        <v>6426000</v>
      </c>
      <c r="E7446" t="s">
        <v>188</v>
      </c>
      <c r="F7446">
        <v>5104010107</v>
      </c>
      <c r="G7446" s="13">
        <v>133250</v>
      </c>
      <c r="I7446" t="s">
        <v>150</v>
      </c>
      <c r="J7446" t="s">
        <v>581</v>
      </c>
      <c r="K7446" t="s">
        <v>154</v>
      </c>
      <c r="L7446">
        <v>8000602853</v>
      </c>
      <c r="N7446" t="s">
        <v>1031</v>
      </c>
    </row>
    <row r="7447" spans="3:14">
      <c r="C7447">
        <v>2100300025</v>
      </c>
      <c r="D7447">
        <v>6426000</v>
      </c>
      <c r="E7447" t="s">
        <v>188</v>
      </c>
      <c r="F7447">
        <v>5104010107</v>
      </c>
      <c r="G7447" s="13">
        <v>6500</v>
      </c>
      <c r="I7447" t="s">
        <v>150</v>
      </c>
      <c r="J7447" t="s">
        <v>1201</v>
      </c>
      <c r="K7447" t="s">
        <v>154</v>
      </c>
      <c r="L7447">
        <v>8000604116</v>
      </c>
      <c r="N7447" t="s">
        <v>1039</v>
      </c>
    </row>
    <row r="7448" spans="3:14">
      <c r="C7448">
        <v>2100300025</v>
      </c>
      <c r="D7448">
        <v>6426000</v>
      </c>
      <c r="E7448" t="s">
        <v>188</v>
      </c>
      <c r="F7448">
        <v>5104010107</v>
      </c>
      <c r="G7448" s="13">
        <v>633333</v>
      </c>
      <c r="I7448" t="s">
        <v>150</v>
      </c>
      <c r="J7448" t="s">
        <v>799</v>
      </c>
      <c r="K7448" t="s">
        <v>154</v>
      </c>
      <c r="L7448">
        <v>8000164487</v>
      </c>
      <c r="N7448" t="s">
        <v>1031</v>
      </c>
    </row>
    <row r="7449" spans="3:14">
      <c r="C7449">
        <v>2100300025</v>
      </c>
      <c r="D7449">
        <v>6426000</v>
      </c>
      <c r="E7449" t="s">
        <v>188</v>
      </c>
      <c r="F7449">
        <v>5104010107</v>
      </c>
      <c r="G7449" s="13">
        <v>37500</v>
      </c>
      <c r="I7449" t="s">
        <v>150</v>
      </c>
      <c r="J7449" t="s">
        <v>876</v>
      </c>
      <c r="K7449" t="s">
        <v>154</v>
      </c>
      <c r="L7449">
        <v>8001615278</v>
      </c>
      <c r="N7449" t="s">
        <v>1042</v>
      </c>
    </row>
    <row r="7450" spans="3:14">
      <c r="C7450">
        <v>2100300025</v>
      </c>
      <c r="D7450">
        <v>6426000</v>
      </c>
      <c r="E7450" t="s">
        <v>188</v>
      </c>
      <c r="F7450">
        <v>5104010107</v>
      </c>
      <c r="G7450" s="13">
        <v>60000</v>
      </c>
      <c r="I7450" t="s">
        <v>150</v>
      </c>
      <c r="J7450" t="s">
        <v>876</v>
      </c>
      <c r="K7450" t="s">
        <v>154</v>
      </c>
      <c r="L7450">
        <v>8001615277</v>
      </c>
      <c r="N7450" t="s">
        <v>1042</v>
      </c>
    </row>
    <row r="7451" spans="3:14">
      <c r="C7451">
        <v>2100300025</v>
      </c>
      <c r="D7451">
        <v>6426000</v>
      </c>
      <c r="E7451" t="s">
        <v>188</v>
      </c>
      <c r="F7451">
        <v>5104010107</v>
      </c>
      <c r="G7451" s="13">
        <v>177500</v>
      </c>
      <c r="I7451" t="s">
        <v>150</v>
      </c>
      <c r="J7451" t="s">
        <v>876</v>
      </c>
      <c r="K7451" t="s">
        <v>154</v>
      </c>
      <c r="L7451">
        <v>8001615276</v>
      </c>
      <c r="N7451" t="s">
        <v>1042</v>
      </c>
    </row>
    <row r="7452" spans="3:14">
      <c r="C7452">
        <v>2100300025</v>
      </c>
      <c r="D7452">
        <v>6426000</v>
      </c>
      <c r="E7452" t="s">
        <v>188</v>
      </c>
      <c r="F7452">
        <v>5104010107</v>
      </c>
      <c r="G7452" s="13">
        <v>733500</v>
      </c>
      <c r="I7452" t="s">
        <v>150</v>
      </c>
      <c r="J7452" t="s">
        <v>877</v>
      </c>
      <c r="K7452" t="s">
        <v>154</v>
      </c>
      <c r="L7452">
        <v>8001597747</v>
      </c>
      <c r="N7452" t="s">
        <v>1042</v>
      </c>
    </row>
    <row r="7453" spans="3:14">
      <c r="C7453">
        <v>2100300025</v>
      </c>
      <c r="D7453">
        <v>6426000</v>
      </c>
      <c r="E7453" t="s">
        <v>188</v>
      </c>
      <c r="F7453">
        <v>5104010107</v>
      </c>
      <c r="G7453" s="13">
        <v>1287400</v>
      </c>
      <c r="I7453" t="s">
        <v>150</v>
      </c>
      <c r="J7453" t="s">
        <v>877</v>
      </c>
      <c r="K7453" t="s">
        <v>154</v>
      </c>
      <c r="L7453">
        <v>8001597767</v>
      </c>
      <c r="N7453" t="s">
        <v>1440</v>
      </c>
    </row>
    <row r="7454" spans="3:14">
      <c r="C7454">
        <v>2100300025</v>
      </c>
      <c r="D7454">
        <v>6426000</v>
      </c>
      <c r="E7454" t="s">
        <v>188</v>
      </c>
      <c r="F7454">
        <v>5104010107</v>
      </c>
      <c r="G7454" s="13">
        <v>554333</v>
      </c>
      <c r="I7454" t="s">
        <v>150</v>
      </c>
      <c r="J7454" t="s">
        <v>877</v>
      </c>
      <c r="K7454" t="s">
        <v>154</v>
      </c>
      <c r="L7454">
        <v>8001597413</v>
      </c>
      <c r="N7454" t="s">
        <v>1042</v>
      </c>
    </row>
    <row r="7455" spans="3:14">
      <c r="C7455">
        <v>2100300025</v>
      </c>
      <c r="D7455">
        <v>6426000</v>
      </c>
      <c r="E7455" t="s">
        <v>188</v>
      </c>
      <c r="F7455">
        <v>5104010107</v>
      </c>
      <c r="G7455" s="13">
        <v>5000</v>
      </c>
      <c r="I7455" t="s">
        <v>150</v>
      </c>
      <c r="J7455" t="s">
        <v>804</v>
      </c>
      <c r="K7455" t="s">
        <v>154</v>
      </c>
      <c r="L7455">
        <v>8001619944</v>
      </c>
      <c r="N7455" t="s">
        <v>1042</v>
      </c>
    </row>
    <row r="7456" spans="3:14">
      <c r="C7456">
        <v>2100300025</v>
      </c>
      <c r="D7456">
        <v>6426000</v>
      </c>
      <c r="E7456" t="s">
        <v>188</v>
      </c>
      <c r="F7456">
        <v>5104010107</v>
      </c>
      <c r="G7456" s="13">
        <v>12000</v>
      </c>
      <c r="I7456" t="s">
        <v>150</v>
      </c>
      <c r="J7456" t="s">
        <v>878</v>
      </c>
      <c r="K7456" t="s">
        <v>154</v>
      </c>
      <c r="L7456">
        <v>8001609427</v>
      </c>
      <c r="N7456" t="s">
        <v>1042</v>
      </c>
    </row>
    <row r="7457" spans="3:14">
      <c r="C7457">
        <v>2100300025</v>
      </c>
      <c r="D7457">
        <v>6426000</v>
      </c>
      <c r="E7457" t="s">
        <v>188</v>
      </c>
      <c r="F7457">
        <v>5104010107</v>
      </c>
      <c r="G7457" s="13">
        <v>13375</v>
      </c>
      <c r="I7457" t="s">
        <v>150</v>
      </c>
      <c r="J7457" t="s">
        <v>1068</v>
      </c>
      <c r="K7457" t="s">
        <v>154</v>
      </c>
      <c r="L7457">
        <v>8001594655</v>
      </c>
      <c r="N7457" t="s">
        <v>1042</v>
      </c>
    </row>
    <row r="7458" spans="3:14">
      <c r="C7458">
        <v>2100300025</v>
      </c>
      <c r="D7458">
        <v>6426000</v>
      </c>
      <c r="E7458" t="s">
        <v>188</v>
      </c>
      <c r="F7458">
        <v>5104010107</v>
      </c>
      <c r="G7458" s="13">
        <v>43320</v>
      </c>
      <c r="I7458" t="s">
        <v>150</v>
      </c>
      <c r="J7458" t="s">
        <v>806</v>
      </c>
      <c r="K7458" t="s">
        <v>154</v>
      </c>
      <c r="L7458">
        <v>8001602770</v>
      </c>
      <c r="N7458" t="s">
        <v>1042</v>
      </c>
    </row>
    <row r="7459" spans="3:14">
      <c r="C7459">
        <v>2100300025</v>
      </c>
      <c r="D7459">
        <v>6426000</v>
      </c>
      <c r="E7459" t="s">
        <v>188</v>
      </c>
      <c r="F7459">
        <v>5104010107</v>
      </c>
      <c r="G7459" s="13">
        <v>12398</v>
      </c>
      <c r="I7459" t="s">
        <v>150</v>
      </c>
      <c r="J7459" t="s">
        <v>806</v>
      </c>
      <c r="K7459" t="s">
        <v>154</v>
      </c>
      <c r="L7459">
        <v>8001601600</v>
      </c>
      <c r="N7459" t="s">
        <v>1039</v>
      </c>
    </row>
    <row r="7460" spans="3:14">
      <c r="C7460">
        <v>2100300025</v>
      </c>
      <c r="D7460">
        <v>6426000</v>
      </c>
      <c r="E7460" t="s">
        <v>188</v>
      </c>
      <c r="F7460">
        <v>5104010107</v>
      </c>
      <c r="G7460" s="13">
        <v>8978</v>
      </c>
      <c r="I7460" t="s">
        <v>150</v>
      </c>
      <c r="J7460" t="s">
        <v>806</v>
      </c>
      <c r="K7460" t="s">
        <v>154</v>
      </c>
      <c r="L7460">
        <v>8001602496</v>
      </c>
      <c r="N7460" t="s">
        <v>1039</v>
      </c>
    </row>
    <row r="7461" spans="3:14">
      <c r="C7461">
        <v>2100300025</v>
      </c>
      <c r="D7461">
        <v>6426000</v>
      </c>
      <c r="E7461" t="s">
        <v>188</v>
      </c>
      <c r="F7461">
        <v>5104010107</v>
      </c>
      <c r="G7461" s="13">
        <v>6000</v>
      </c>
      <c r="I7461" t="s">
        <v>150</v>
      </c>
      <c r="J7461" t="s">
        <v>806</v>
      </c>
      <c r="K7461" t="s">
        <v>154</v>
      </c>
      <c r="L7461">
        <v>8001603201</v>
      </c>
      <c r="N7461" t="s">
        <v>1039</v>
      </c>
    </row>
    <row r="7462" spans="3:14">
      <c r="C7462">
        <v>2100300025</v>
      </c>
      <c r="D7462">
        <v>6426000</v>
      </c>
      <c r="E7462" t="s">
        <v>188</v>
      </c>
      <c r="F7462">
        <v>5104010107</v>
      </c>
      <c r="G7462" s="13">
        <v>11000</v>
      </c>
      <c r="I7462" t="s">
        <v>150</v>
      </c>
      <c r="J7462" t="s">
        <v>806</v>
      </c>
      <c r="K7462" t="s">
        <v>154</v>
      </c>
      <c r="L7462">
        <v>8001603102</v>
      </c>
      <c r="N7462" t="s">
        <v>1039</v>
      </c>
    </row>
    <row r="7463" spans="3:14">
      <c r="C7463">
        <v>2100300025</v>
      </c>
      <c r="D7463">
        <v>6426000</v>
      </c>
      <c r="E7463" t="s">
        <v>188</v>
      </c>
      <c r="F7463">
        <v>5104010107</v>
      </c>
      <c r="G7463" s="13">
        <v>26750</v>
      </c>
      <c r="I7463" t="s">
        <v>150</v>
      </c>
      <c r="J7463" t="s">
        <v>806</v>
      </c>
      <c r="K7463" t="s">
        <v>154</v>
      </c>
      <c r="L7463">
        <v>8001602497</v>
      </c>
      <c r="N7463" t="s">
        <v>1039</v>
      </c>
    </row>
    <row r="7464" spans="3:14">
      <c r="C7464">
        <v>2100300025</v>
      </c>
      <c r="D7464">
        <v>6426000</v>
      </c>
      <c r="E7464" t="s">
        <v>188</v>
      </c>
      <c r="F7464">
        <v>5104010107</v>
      </c>
      <c r="G7464" s="13">
        <v>25680</v>
      </c>
      <c r="I7464" t="s">
        <v>150</v>
      </c>
      <c r="J7464" t="s">
        <v>806</v>
      </c>
      <c r="K7464" t="s">
        <v>154</v>
      </c>
      <c r="L7464">
        <v>8001603106</v>
      </c>
      <c r="N7464" t="s">
        <v>1039</v>
      </c>
    </row>
    <row r="7465" spans="3:14">
      <c r="C7465">
        <v>2100300025</v>
      </c>
      <c r="D7465">
        <v>6426000</v>
      </c>
      <c r="E7465" t="s">
        <v>188</v>
      </c>
      <c r="F7465">
        <v>5104010107</v>
      </c>
      <c r="G7465" s="13">
        <v>64200</v>
      </c>
      <c r="I7465" t="s">
        <v>150</v>
      </c>
      <c r="J7465" t="s">
        <v>806</v>
      </c>
      <c r="K7465" t="s">
        <v>154</v>
      </c>
      <c r="L7465">
        <v>8001603108</v>
      </c>
      <c r="N7465" t="s">
        <v>1039</v>
      </c>
    </row>
    <row r="7466" spans="3:14">
      <c r="C7466">
        <v>2100300025</v>
      </c>
      <c r="D7466">
        <v>6426000</v>
      </c>
      <c r="E7466" t="s">
        <v>188</v>
      </c>
      <c r="F7466">
        <v>5104010107</v>
      </c>
      <c r="G7466" s="13">
        <v>35000</v>
      </c>
      <c r="I7466" t="s">
        <v>150</v>
      </c>
      <c r="J7466" t="s">
        <v>806</v>
      </c>
      <c r="K7466" t="s">
        <v>154</v>
      </c>
      <c r="L7466">
        <v>8001603111</v>
      </c>
      <c r="N7466" t="s">
        <v>1039</v>
      </c>
    </row>
    <row r="7467" spans="3:14">
      <c r="C7467">
        <v>2100300025</v>
      </c>
      <c r="D7467">
        <v>6426000</v>
      </c>
      <c r="E7467" t="s">
        <v>188</v>
      </c>
      <c r="F7467">
        <v>5104010107</v>
      </c>
      <c r="G7467" s="13">
        <v>26750</v>
      </c>
      <c r="I7467" t="s">
        <v>150</v>
      </c>
      <c r="J7467" t="s">
        <v>806</v>
      </c>
      <c r="K7467" t="s">
        <v>154</v>
      </c>
      <c r="L7467">
        <v>8001603115</v>
      </c>
      <c r="N7467" t="s">
        <v>1039</v>
      </c>
    </row>
    <row r="7468" spans="3:14">
      <c r="C7468">
        <v>2100300025</v>
      </c>
      <c r="D7468">
        <v>6426000</v>
      </c>
      <c r="E7468" t="s">
        <v>188</v>
      </c>
      <c r="F7468">
        <v>5104010107</v>
      </c>
      <c r="G7468" s="13">
        <v>25000</v>
      </c>
      <c r="I7468" t="s">
        <v>150</v>
      </c>
      <c r="J7468" t="s">
        <v>806</v>
      </c>
      <c r="K7468" t="s">
        <v>154</v>
      </c>
      <c r="L7468">
        <v>8001603445</v>
      </c>
      <c r="N7468" t="s">
        <v>1042</v>
      </c>
    </row>
    <row r="7469" spans="3:14">
      <c r="C7469">
        <v>2100300025</v>
      </c>
      <c r="D7469">
        <v>6426000</v>
      </c>
      <c r="E7469" t="s">
        <v>188</v>
      </c>
      <c r="F7469">
        <v>5104010107</v>
      </c>
      <c r="G7469" s="13">
        <v>365600</v>
      </c>
      <c r="I7469" t="s">
        <v>150</v>
      </c>
      <c r="J7469" t="s">
        <v>875</v>
      </c>
      <c r="K7469" t="s">
        <v>154</v>
      </c>
      <c r="L7469">
        <v>8001600395</v>
      </c>
      <c r="N7469" t="s">
        <v>1042</v>
      </c>
    </row>
    <row r="7470" spans="3:14">
      <c r="C7470">
        <v>2100300025</v>
      </c>
      <c r="D7470">
        <v>6426000</v>
      </c>
      <c r="E7470" t="s">
        <v>188</v>
      </c>
      <c r="F7470">
        <v>5104010107</v>
      </c>
      <c r="G7470" s="13">
        <v>56000</v>
      </c>
      <c r="I7470" t="s">
        <v>150</v>
      </c>
      <c r="J7470" t="s">
        <v>875</v>
      </c>
      <c r="K7470" t="s">
        <v>154</v>
      </c>
      <c r="L7470">
        <v>8001599560</v>
      </c>
      <c r="N7470" t="s">
        <v>1042</v>
      </c>
    </row>
    <row r="7471" spans="3:14">
      <c r="C7471">
        <v>2100300025</v>
      </c>
      <c r="D7471">
        <v>6426000</v>
      </c>
      <c r="E7471" t="s">
        <v>188</v>
      </c>
      <c r="F7471">
        <v>5104010107</v>
      </c>
      <c r="G7471" s="13">
        <v>633333</v>
      </c>
      <c r="I7471" t="s">
        <v>150</v>
      </c>
      <c r="J7471" t="s">
        <v>875</v>
      </c>
      <c r="K7471" t="s">
        <v>154</v>
      </c>
      <c r="L7471">
        <v>8001599572</v>
      </c>
      <c r="N7471" t="s">
        <v>1042</v>
      </c>
    </row>
    <row r="7472" spans="3:14">
      <c r="C7472">
        <v>2100300025</v>
      </c>
      <c r="D7472">
        <v>6426000</v>
      </c>
      <c r="E7472" t="s">
        <v>188</v>
      </c>
      <c r="F7472">
        <v>5104010107</v>
      </c>
      <c r="G7472" s="13">
        <v>-13000</v>
      </c>
      <c r="I7472" t="s">
        <v>150</v>
      </c>
      <c r="J7472" t="s">
        <v>815</v>
      </c>
      <c r="K7472" t="s">
        <v>154</v>
      </c>
      <c r="L7472">
        <v>8001860381</v>
      </c>
      <c r="N7472" t="s">
        <v>1031</v>
      </c>
    </row>
    <row r="7473" spans="3:14">
      <c r="C7473">
        <v>2100300025</v>
      </c>
      <c r="D7473">
        <v>6426000</v>
      </c>
      <c r="E7473" t="s">
        <v>188</v>
      </c>
      <c r="F7473">
        <v>5104010107</v>
      </c>
      <c r="G7473" s="13">
        <v>-55000</v>
      </c>
      <c r="I7473" t="s">
        <v>150</v>
      </c>
      <c r="J7473" t="s">
        <v>813</v>
      </c>
      <c r="K7473" t="s">
        <v>154</v>
      </c>
      <c r="L7473">
        <v>8001869074</v>
      </c>
      <c r="N7473" t="s">
        <v>1031</v>
      </c>
    </row>
    <row r="7474" spans="3:14">
      <c r="C7474">
        <v>2100300025</v>
      </c>
      <c r="D7474">
        <v>6426000</v>
      </c>
      <c r="E7474" t="s">
        <v>188</v>
      </c>
      <c r="F7474">
        <v>5104010107</v>
      </c>
      <c r="G7474" s="13">
        <v>55000</v>
      </c>
      <c r="I7474" t="s">
        <v>150</v>
      </c>
      <c r="J7474" t="s">
        <v>818</v>
      </c>
      <c r="K7474" t="s">
        <v>154</v>
      </c>
      <c r="L7474">
        <v>8001868748</v>
      </c>
      <c r="N7474" t="s">
        <v>1031</v>
      </c>
    </row>
    <row r="7475" spans="3:14">
      <c r="C7475">
        <v>2100300025</v>
      </c>
      <c r="D7475">
        <v>6426000</v>
      </c>
      <c r="E7475" t="s">
        <v>188</v>
      </c>
      <c r="F7475">
        <v>5104010107</v>
      </c>
      <c r="G7475" s="13">
        <v>-12500</v>
      </c>
      <c r="I7475" t="s">
        <v>150</v>
      </c>
      <c r="J7475" t="s">
        <v>573</v>
      </c>
      <c r="K7475" t="s">
        <v>154</v>
      </c>
      <c r="L7475">
        <v>8001868982</v>
      </c>
      <c r="N7475" t="s">
        <v>1031</v>
      </c>
    </row>
    <row r="7476" spans="3:14">
      <c r="C7476">
        <v>2100300025</v>
      </c>
      <c r="D7476">
        <v>6426000</v>
      </c>
      <c r="E7476" t="s">
        <v>188</v>
      </c>
      <c r="F7476">
        <v>5104010107</v>
      </c>
      <c r="G7476" s="13">
        <v>-12500</v>
      </c>
      <c r="I7476" t="s">
        <v>150</v>
      </c>
      <c r="J7476" t="s">
        <v>573</v>
      </c>
      <c r="K7476" t="s">
        <v>154</v>
      </c>
      <c r="L7476">
        <v>8001866003</v>
      </c>
      <c r="N7476" t="s">
        <v>1031</v>
      </c>
    </row>
    <row r="7477" spans="3:14">
      <c r="C7477">
        <v>2100300025</v>
      </c>
      <c r="D7477">
        <v>6426000</v>
      </c>
      <c r="E7477" t="s">
        <v>188</v>
      </c>
      <c r="F7477">
        <v>5104010107</v>
      </c>
      <c r="G7477" s="13">
        <v>12500</v>
      </c>
      <c r="I7477" t="s">
        <v>150</v>
      </c>
      <c r="J7477" t="s">
        <v>573</v>
      </c>
      <c r="K7477" t="s">
        <v>154</v>
      </c>
      <c r="L7477">
        <v>8001865711</v>
      </c>
      <c r="N7477" t="s">
        <v>1031</v>
      </c>
    </row>
    <row r="7478" spans="3:14">
      <c r="C7478">
        <v>2100300025</v>
      </c>
      <c r="D7478">
        <v>6426000</v>
      </c>
      <c r="E7478" t="s">
        <v>188</v>
      </c>
      <c r="F7478">
        <v>5104010107</v>
      </c>
      <c r="G7478" s="13">
        <v>80250</v>
      </c>
      <c r="I7478" t="s">
        <v>150</v>
      </c>
      <c r="J7478" t="s">
        <v>902</v>
      </c>
      <c r="K7478" t="s">
        <v>154</v>
      </c>
      <c r="L7478">
        <v>8000017459</v>
      </c>
      <c r="N7478" t="s">
        <v>1031</v>
      </c>
    </row>
    <row r="7479" spans="3:14">
      <c r="C7479">
        <v>2100300025</v>
      </c>
      <c r="D7479">
        <v>6426000</v>
      </c>
      <c r="E7479" t="s">
        <v>188</v>
      </c>
      <c r="F7479">
        <v>5104010107</v>
      </c>
      <c r="G7479" s="13">
        <v>-5000</v>
      </c>
      <c r="I7479" t="s">
        <v>150</v>
      </c>
      <c r="J7479" t="s">
        <v>812</v>
      </c>
      <c r="K7479" t="s">
        <v>154</v>
      </c>
      <c r="L7479">
        <v>8001810925</v>
      </c>
      <c r="N7479" t="s">
        <v>1031</v>
      </c>
    </row>
    <row r="7480" spans="3:14">
      <c r="C7480">
        <v>2100300025</v>
      </c>
      <c r="D7480">
        <v>6426000</v>
      </c>
      <c r="E7480" t="s">
        <v>188</v>
      </c>
      <c r="F7480">
        <v>5104010107</v>
      </c>
      <c r="G7480" s="13">
        <v>43000</v>
      </c>
      <c r="I7480" t="s">
        <v>150</v>
      </c>
      <c r="J7480" t="s">
        <v>896</v>
      </c>
      <c r="K7480" t="s">
        <v>154</v>
      </c>
      <c r="L7480">
        <v>8001793076</v>
      </c>
      <c r="N7480" t="s">
        <v>1031</v>
      </c>
    </row>
    <row r="7481" spans="3:14">
      <c r="C7481">
        <v>2100300025</v>
      </c>
      <c r="D7481">
        <v>6426000</v>
      </c>
      <c r="E7481" t="s">
        <v>188</v>
      </c>
      <c r="F7481">
        <v>5104010107</v>
      </c>
      <c r="G7481" s="13">
        <v>5000</v>
      </c>
      <c r="I7481" t="s">
        <v>150</v>
      </c>
      <c r="J7481" t="s">
        <v>812</v>
      </c>
      <c r="K7481" t="s">
        <v>154</v>
      </c>
      <c r="L7481">
        <v>8001772479</v>
      </c>
      <c r="N7481" t="s">
        <v>1031</v>
      </c>
    </row>
    <row r="7482" spans="3:14">
      <c r="C7482">
        <v>2100300025</v>
      </c>
      <c r="D7482">
        <v>6426000</v>
      </c>
      <c r="E7482" t="s">
        <v>188</v>
      </c>
      <c r="F7482">
        <v>5104010107</v>
      </c>
      <c r="G7482" s="13">
        <v>17500</v>
      </c>
      <c r="I7482" t="s">
        <v>150</v>
      </c>
      <c r="J7482" t="s">
        <v>900</v>
      </c>
      <c r="K7482" t="s">
        <v>154</v>
      </c>
      <c r="L7482">
        <v>8001782860</v>
      </c>
      <c r="N7482" t="s">
        <v>1039</v>
      </c>
    </row>
    <row r="7483" spans="3:14">
      <c r="C7483">
        <v>2100300025</v>
      </c>
      <c r="D7483">
        <v>6426000</v>
      </c>
      <c r="E7483" t="s">
        <v>188</v>
      </c>
      <c r="F7483">
        <v>5104010107</v>
      </c>
      <c r="G7483" s="13">
        <v>38500</v>
      </c>
      <c r="I7483" t="s">
        <v>150</v>
      </c>
      <c r="J7483" t="s">
        <v>900</v>
      </c>
      <c r="K7483" t="s">
        <v>154</v>
      </c>
      <c r="L7483">
        <v>8001782865</v>
      </c>
      <c r="N7483" t="s">
        <v>1439</v>
      </c>
    </row>
    <row r="7484" spans="3:14">
      <c r="C7484">
        <v>2100300025</v>
      </c>
      <c r="D7484">
        <v>6426000</v>
      </c>
      <c r="E7484" t="s">
        <v>188</v>
      </c>
      <c r="F7484">
        <v>5104010107</v>
      </c>
      <c r="G7484" s="13">
        <v>13000</v>
      </c>
      <c r="I7484" t="s">
        <v>150</v>
      </c>
      <c r="J7484" t="s">
        <v>815</v>
      </c>
      <c r="K7484" t="s">
        <v>154</v>
      </c>
      <c r="L7484">
        <v>8001853461</v>
      </c>
      <c r="N7484" t="s">
        <v>1031</v>
      </c>
    </row>
    <row r="7485" spans="3:14">
      <c r="C7485">
        <v>2100300025</v>
      </c>
      <c r="D7485">
        <v>6426000</v>
      </c>
      <c r="E7485" t="s">
        <v>188</v>
      </c>
      <c r="F7485">
        <v>5104010107</v>
      </c>
      <c r="G7485" s="13">
        <v>55000</v>
      </c>
      <c r="I7485" t="s">
        <v>150</v>
      </c>
      <c r="J7485" t="s">
        <v>813</v>
      </c>
      <c r="K7485" t="s">
        <v>154</v>
      </c>
      <c r="L7485">
        <v>8001854924</v>
      </c>
      <c r="N7485" t="s">
        <v>1031</v>
      </c>
    </row>
    <row r="7486" spans="3:14">
      <c r="C7486">
        <v>2100300025</v>
      </c>
      <c r="D7486">
        <v>6426000</v>
      </c>
      <c r="E7486" t="s">
        <v>188</v>
      </c>
      <c r="F7486">
        <v>5104010107</v>
      </c>
      <c r="G7486" s="13">
        <v>12500</v>
      </c>
      <c r="I7486" t="s">
        <v>150</v>
      </c>
      <c r="J7486" t="s">
        <v>573</v>
      </c>
      <c r="K7486" t="s">
        <v>154</v>
      </c>
      <c r="L7486">
        <v>8001864264</v>
      </c>
      <c r="N7486" t="s">
        <v>1031</v>
      </c>
    </row>
    <row r="7487" spans="3:14">
      <c r="C7487">
        <v>2100300025</v>
      </c>
      <c r="D7487">
        <v>6426000</v>
      </c>
      <c r="E7487" t="s">
        <v>188</v>
      </c>
      <c r="F7487">
        <v>5104010107</v>
      </c>
      <c r="G7487" s="13">
        <v>25800</v>
      </c>
      <c r="I7487" t="s">
        <v>150</v>
      </c>
      <c r="J7487" t="s">
        <v>817</v>
      </c>
      <c r="K7487" t="s">
        <v>154</v>
      </c>
      <c r="L7487">
        <v>8001841174</v>
      </c>
      <c r="N7487" t="s">
        <v>1031</v>
      </c>
    </row>
    <row r="7488" spans="3:14">
      <c r="C7488">
        <v>2100300025</v>
      </c>
      <c r="D7488">
        <v>6426000</v>
      </c>
      <c r="E7488" t="s">
        <v>188</v>
      </c>
      <c r="F7488">
        <v>5104010107</v>
      </c>
      <c r="G7488" s="13">
        <v>12600</v>
      </c>
      <c r="I7488" t="s">
        <v>150</v>
      </c>
      <c r="J7488" t="s">
        <v>818</v>
      </c>
      <c r="K7488" t="s">
        <v>154</v>
      </c>
      <c r="L7488">
        <v>8001837411</v>
      </c>
      <c r="N7488" t="s">
        <v>1439</v>
      </c>
    </row>
    <row r="7489" spans="3:14">
      <c r="C7489">
        <v>2100300025</v>
      </c>
      <c r="D7489">
        <v>6426000</v>
      </c>
      <c r="E7489" t="s">
        <v>188</v>
      </c>
      <c r="F7489">
        <v>5104010107</v>
      </c>
      <c r="G7489" s="13">
        <v>12000</v>
      </c>
      <c r="I7489" t="s">
        <v>150</v>
      </c>
      <c r="J7489" t="s">
        <v>895</v>
      </c>
      <c r="K7489" t="s">
        <v>154</v>
      </c>
      <c r="L7489">
        <v>8001832057</v>
      </c>
      <c r="N7489" t="s">
        <v>1039</v>
      </c>
    </row>
    <row r="7490" spans="3:14">
      <c r="C7490">
        <v>2100300025</v>
      </c>
      <c r="D7490">
        <v>6426000</v>
      </c>
      <c r="E7490" t="s">
        <v>188</v>
      </c>
      <c r="F7490">
        <v>5104010107</v>
      </c>
      <c r="G7490" s="13">
        <v>-11000</v>
      </c>
      <c r="I7490" t="s">
        <v>150</v>
      </c>
      <c r="J7490" t="s">
        <v>902</v>
      </c>
      <c r="K7490" t="s">
        <v>154</v>
      </c>
      <c r="L7490">
        <v>8000031554</v>
      </c>
      <c r="N7490" t="s">
        <v>1031</v>
      </c>
    </row>
    <row r="7491" spans="3:14">
      <c r="C7491">
        <v>2100300025</v>
      </c>
      <c r="D7491">
        <v>6426000</v>
      </c>
      <c r="E7491" t="s">
        <v>188</v>
      </c>
      <c r="F7491">
        <v>5104010107</v>
      </c>
      <c r="G7491" s="13">
        <v>-80250</v>
      </c>
      <c r="I7491" t="s">
        <v>150</v>
      </c>
      <c r="J7491" t="s">
        <v>902</v>
      </c>
      <c r="K7491" t="s">
        <v>154</v>
      </c>
      <c r="L7491">
        <v>8000025923</v>
      </c>
      <c r="N7491" t="s">
        <v>1031</v>
      </c>
    </row>
    <row r="7492" spans="3:14">
      <c r="C7492">
        <v>2100300025</v>
      </c>
      <c r="D7492">
        <v>6426000</v>
      </c>
      <c r="E7492" t="s">
        <v>188</v>
      </c>
      <c r="F7492">
        <v>5104010107</v>
      </c>
      <c r="G7492" s="13">
        <v>12500</v>
      </c>
      <c r="I7492" t="s">
        <v>150</v>
      </c>
      <c r="J7492" t="s">
        <v>902</v>
      </c>
      <c r="K7492" t="s">
        <v>154</v>
      </c>
      <c r="L7492">
        <v>8000025921</v>
      </c>
      <c r="N7492" t="s">
        <v>1031</v>
      </c>
    </row>
    <row r="7493" spans="3:14">
      <c r="C7493">
        <v>2100300025</v>
      </c>
      <c r="D7493">
        <v>6426000</v>
      </c>
      <c r="E7493" t="s">
        <v>188</v>
      </c>
      <c r="F7493">
        <v>5104010107</v>
      </c>
      <c r="G7493" s="13">
        <v>-6000</v>
      </c>
      <c r="I7493" t="s">
        <v>150</v>
      </c>
      <c r="J7493" t="s">
        <v>902</v>
      </c>
      <c r="K7493" t="s">
        <v>154</v>
      </c>
      <c r="L7493">
        <v>8000041370</v>
      </c>
      <c r="N7493" t="s">
        <v>1031</v>
      </c>
    </row>
    <row r="7494" spans="3:14">
      <c r="C7494">
        <v>2100300025</v>
      </c>
      <c r="D7494">
        <v>6426000</v>
      </c>
      <c r="E7494" t="s">
        <v>188</v>
      </c>
      <c r="F7494">
        <v>5104010107</v>
      </c>
      <c r="G7494" s="13">
        <v>-37500</v>
      </c>
      <c r="I7494" t="s">
        <v>150</v>
      </c>
      <c r="J7494" t="s">
        <v>902</v>
      </c>
      <c r="K7494" t="s">
        <v>154</v>
      </c>
      <c r="L7494">
        <v>8000045745</v>
      </c>
      <c r="N7494" t="s">
        <v>1031</v>
      </c>
    </row>
    <row r="7495" spans="3:14">
      <c r="C7495">
        <v>2100300025</v>
      </c>
      <c r="D7495">
        <v>6426000</v>
      </c>
      <c r="E7495" t="s">
        <v>188</v>
      </c>
      <c r="F7495">
        <v>5104010107</v>
      </c>
      <c r="G7495" s="13">
        <v>-35000</v>
      </c>
      <c r="I7495" t="s">
        <v>150</v>
      </c>
      <c r="J7495" t="s">
        <v>902</v>
      </c>
      <c r="K7495" t="s">
        <v>154</v>
      </c>
      <c r="L7495">
        <v>8000127029</v>
      </c>
      <c r="N7495" t="s">
        <v>1031</v>
      </c>
    </row>
    <row r="7496" spans="3:14">
      <c r="C7496">
        <v>2100300025</v>
      </c>
      <c r="D7496">
        <v>6426000</v>
      </c>
      <c r="E7496" t="s">
        <v>188</v>
      </c>
      <c r="F7496">
        <v>5104010107</v>
      </c>
      <c r="G7496" s="13">
        <v>-402160</v>
      </c>
      <c r="I7496" t="s">
        <v>150</v>
      </c>
      <c r="J7496" t="s">
        <v>575</v>
      </c>
      <c r="K7496" t="s">
        <v>154</v>
      </c>
      <c r="L7496">
        <v>8000201702</v>
      </c>
      <c r="N7496" t="s">
        <v>1031</v>
      </c>
    </row>
    <row r="7497" spans="3:14">
      <c r="C7497">
        <v>2100300025</v>
      </c>
      <c r="D7497">
        <v>6426000</v>
      </c>
      <c r="E7497" t="s">
        <v>188</v>
      </c>
      <c r="F7497">
        <v>5104010107</v>
      </c>
      <c r="G7497" s="13">
        <v>11000</v>
      </c>
      <c r="I7497" t="s">
        <v>150</v>
      </c>
      <c r="J7497" t="s">
        <v>902</v>
      </c>
      <c r="K7497" t="s">
        <v>154</v>
      </c>
      <c r="L7497">
        <v>8000032119</v>
      </c>
      <c r="N7497" t="s">
        <v>1031</v>
      </c>
    </row>
    <row r="7498" spans="3:14">
      <c r="C7498">
        <v>2100300025</v>
      </c>
      <c r="D7498">
        <v>6426000</v>
      </c>
      <c r="E7498" t="s">
        <v>188</v>
      </c>
      <c r="F7498">
        <v>5104010107</v>
      </c>
      <c r="G7498" s="13">
        <v>80250</v>
      </c>
      <c r="I7498" t="s">
        <v>150</v>
      </c>
      <c r="J7498" t="s">
        <v>902</v>
      </c>
      <c r="K7498" t="s">
        <v>154</v>
      </c>
      <c r="L7498">
        <v>8000025393</v>
      </c>
      <c r="N7498" t="s">
        <v>1031</v>
      </c>
    </row>
    <row r="7499" spans="3:14">
      <c r="C7499">
        <v>2100300025</v>
      </c>
      <c r="D7499">
        <v>6426000</v>
      </c>
      <c r="E7499" t="s">
        <v>188</v>
      </c>
      <c r="F7499">
        <v>5104010107</v>
      </c>
      <c r="G7499" s="13">
        <v>13200</v>
      </c>
      <c r="I7499" t="s">
        <v>150</v>
      </c>
      <c r="J7499" t="s">
        <v>822</v>
      </c>
      <c r="K7499" t="s">
        <v>154</v>
      </c>
      <c r="L7499">
        <v>8000061403</v>
      </c>
      <c r="N7499" t="s">
        <v>1439</v>
      </c>
    </row>
    <row r="7500" spans="3:14">
      <c r="C7500">
        <v>2100300025</v>
      </c>
      <c r="D7500">
        <v>6426000</v>
      </c>
      <c r="E7500" t="s">
        <v>188</v>
      </c>
      <c r="F7500">
        <v>5104010107</v>
      </c>
      <c r="G7500" s="13">
        <v>9000</v>
      </c>
      <c r="I7500" t="s">
        <v>150</v>
      </c>
      <c r="J7500" t="s">
        <v>912</v>
      </c>
      <c r="K7500" t="s">
        <v>154</v>
      </c>
      <c r="L7500">
        <v>8000189594</v>
      </c>
      <c r="N7500" t="s">
        <v>1439</v>
      </c>
    </row>
    <row r="7501" spans="3:14">
      <c r="C7501">
        <v>2100300025</v>
      </c>
      <c r="D7501">
        <v>6426000</v>
      </c>
      <c r="E7501" t="s">
        <v>188</v>
      </c>
      <c r="F7501">
        <v>5104010107</v>
      </c>
      <c r="G7501" s="13">
        <v>25000</v>
      </c>
      <c r="I7501" t="s">
        <v>150</v>
      </c>
      <c r="J7501" t="s">
        <v>916</v>
      </c>
      <c r="K7501" t="s">
        <v>154</v>
      </c>
      <c r="L7501">
        <v>8000189586</v>
      </c>
      <c r="N7501" t="s">
        <v>1439</v>
      </c>
    </row>
    <row r="7502" spans="3:14">
      <c r="C7502">
        <v>2100300025</v>
      </c>
      <c r="D7502">
        <v>6426000</v>
      </c>
      <c r="E7502" t="s">
        <v>188</v>
      </c>
      <c r="F7502">
        <v>5104010107</v>
      </c>
      <c r="G7502" s="13">
        <v>5900</v>
      </c>
      <c r="I7502" t="s">
        <v>150</v>
      </c>
      <c r="J7502" t="s">
        <v>911</v>
      </c>
      <c r="K7502" t="s">
        <v>154</v>
      </c>
      <c r="L7502">
        <v>8000050358</v>
      </c>
      <c r="N7502" t="s">
        <v>1039</v>
      </c>
    </row>
    <row r="7503" spans="3:14">
      <c r="C7503">
        <v>2100300025</v>
      </c>
      <c r="D7503">
        <v>6426000</v>
      </c>
      <c r="E7503" t="s">
        <v>188</v>
      </c>
      <c r="F7503">
        <v>5104010107</v>
      </c>
      <c r="G7503" s="13">
        <v>6000</v>
      </c>
      <c r="I7503" t="s">
        <v>150</v>
      </c>
      <c r="J7503" t="s">
        <v>902</v>
      </c>
      <c r="K7503" t="s">
        <v>154</v>
      </c>
      <c r="L7503">
        <v>8000045742</v>
      </c>
      <c r="N7503" t="s">
        <v>1031</v>
      </c>
    </row>
    <row r="7504" spans="3:14">
      <c r="C7504">
        <v>2100300025</v>
      </c>
      <c r="D7504">
        <v>6426000</v>
      </c>
      <c r="E7504" t="s">
        <v>188</v>
      </c>
      <c r="F7504">
        <v>5104010107</v>
      </c>
      <c r="G7504" s="13">
        <v>35000</v>
      </c>
      <c r="I7504" t="s">
        <v>150</v>
      </c>
      <c r="J7504" t="s">
        <v>902</v>
      </c>
      <c r="K7504" t="s">
        <v>154</v>
      </c>
      <c r="L7504">
        <v>8000127211</v>
      </c>
      <c r="N7504" t="s">
        <v>1031</v>
      </c>
    </row>
    <row r="7505" spans="3:14">
      <c r="C7505">
        <v>2100300025</v>
      </c>
      <c r="D7505">
        <v>6426000</v>
      </c>
      <c r="E7505" t="s">
        <v>188</v>
      </c>
      <c r="F7505">
        <v>5104010107</v>
      </c>
      <c r="G7505" s="13">
        <v>402160</v>
      </c>
      <c r="I7505" t="s">
        <v>150</v>
      </c>
      <c r="J7505" t="s">
        <v>575</v>
      </c>
      <c r="K7505" t="s">
        <v>154</v>
      </c>
      <c r="L7505">
        <v>8000209860</v>
      </c>
      <c r="N7505" t="s">
        <v>1031</v>
      </c>
    </row>
    <row r="7506" spans="3:14">
      <c r="C7506">
        <v>2100300025</v>
      </c>
      <c r="D7506">
        <v>6426000</v>
      </c>
      <c r="E7506" t="s">
        <v>188</v>
      </c>
      <c r="F7506">
        <v>5104010107</v>
      </c>
      <c r="G7506" s="13">
        <v>-10000</v>
      </c>
      <c r="I7506" t="s">
        <v>150</v>
      </c>
      <c r="J7506" t="s">
        <v>915</v>
      </c>
      <c r="K7506" t="s">
        <v>154</v>
      </c>
      <c r="L7506">
        <v>8000223895</v>
      </c>
      <c r="N7506" t="s">
        <v>1031</v>
      </c>
    </row>
    <row r="7507" spans="3:14">
      <c r="C7507">
        <v>2100300025</v>
      </c>
      <c r="D7507">
        <v>6426000</v>
      </c>
      <c r="E7507" t="s">
        <v>188</v>
      </c>
      <c r="F7507">
        <v>5104010107</v>
      </c>
      <c r="G7507" s="13">
        <v>10000</v>
      </c>
      <c r="I7507" t="s">
        <v>150</v>
      </c>
      <c r="J7507" t="s">
        <v>914</v>
      </c>
      <c r="K7507" t="s">
        <v>154</v>
      </c>
      <c r="L7507">
        <v>8000224271</v>
      </c>
      <c r="N7507" t="s">
        <v>1031</v>
      </c>
    </row>
    <row r="7508" spans="3:14">
      <c r="C7508">
        <v>2100300025</v>
      </c>
      <c r="D7508">
        <v>6426000</v>
      </c>
      <c r="E7508" t="s">
        <v>188</v>
      </c>
      <c r="F7508">
        <v>5104010107</v>
      </c>
      <c r="G7508" s="13">
        <v>-10000</v>
      </c>
      <c r="I7508" t="s">
        <v>150</v>
      </c>
      <c r="J7508" t="s">
        <v>915</v>
      </c>
      <c r="K7508" t="s">
        <v>154</v>
      </c>
      <c r="L7508">
        <v>8000218880</v>
      </c>
      <c r="N7508" t="s">
        <v>1031</v>
      </c>
    </row>
    <row r="7509" spans="3:14">
      <c r="C7509">
        <v>2100300025</v>
      </c>
      <c r="D7509">
        <v>6426000</v>
      </c>
      <c r="E7509" t="s">
        <v>188</v>
      </c>
      <c r="F7509">
        <v>5104010107</v>
      </c>
      <c r="G7509" s="13">
        <v>10000</v>
      </c>
      <c r="I7509" t="s">
        <v>150</v>
      </c>
      <c r="J7509" t="s">
        <v>915</v>
      </c>
      <c r="K7509" t="s">
        <v>154</v>
      </c>
      <c r="L7509">
        <v>8000218881</v>
      </c>
      <c r="N7509" t="s">
        <v>1031</v>
      </c>
    </row>
    <row r="7510" spans="3:14">
      <c r="C7510">
        <v>2100300025</v>
      </c>
      <c r="D7510">
        <v>6426000</v>
      </c>
      <c r="E7510" t="s">
        <v>188</v>
      </c>
      <c r="F7510">
        <v>5104010107</v>
      </c>
      <c r="G7510" s="13">
        <v>-52965</v>
      </c>
      <c r="I7510" t="s">
        <v>150</v>
      </c>
      <c r="J7510" t="s">
        <v>825</v>
      </c>
      <c r="K7510" t="s">
        <v>154</v>
      </c>
      <c r="L7510">
        <v>8000247425</v>
      </c>
      <c r="N7510" t="s">
        <v>1031</v>
      </c>
    </row>
    <row r="7511" spans="3:14">
      <c r="C7511">
        <v>2100300025</v>
      </c>
      <c r="D7511">
        <v>6426000</v>
      </c>
      <c r="E7511" t="s">
        <v>188</v>
      </c>
      <c r="F7511">
        <v>5104010107</v>
      </c>
      <c r="G7511" s="13">
        <v>-28000</v>
      </c>
      <c r="I7511" t="s">
        <v>150</v>
      </c>
      <c r="J7511" t="s">
        <v>799</v>
      </c>
      <c r="K7511" t="s">
        <v>154</v>
      </c>
      <c r="L7511">
        <v>8000170591</v>
      </c>
      <c r="N7511" t="s">
        <v>1031</v>
      </c>
    </row>
    <row r="7512" spans="3:14">
      <c r="C7512">
        <v>2100300025</v>
      </c>
      <c r="D7512">
        <v>6426000</v>
      </c>
      <c r="E7512" t="s">
        <v>188</v>
      </c>
      <c r="F7512">
        <v>5104010107</v>
      </c>
      <c r="G7512" s="13">
        <v>-52965</v>
      </c>
      <c r="I7512" t="s">
        <v>150</v>
      </c>
      <c r="J7512" t="s">
        <v>1185</v>
      </c>
      <c r="K7512" t="s">
        <v>154</v>
      </c>
      <c r="L7512">
        <v>8000240410</v>
      </c>
      <c r="N7512" t="s">
        <v>1031</v>
      </c>
    </row>
    <row r="7513" spans="3:14">
      <c r="C7513">
        <v>2100300025</v>
      </c>
      <c r="D7513">
        <v>6426000</v>
      </c>
      <c r="E7513" t="s">
        <v>188</v>
      </c>
      <c r="F7513">
        <v>5104010107</v>
      </c>
      <c r="G7513" s="13">
        <v>-240000</v>
      </c>
      <c r="I7513" t="s">
        <v>150</v>
      </c>
      <c r="J7513" t="s">
        <v>914</v>
      </c>
      <c r="K7513" t="s">
        <v>154</v>
      </c>
      <c r="L7513">
        <v>8000234434</v>
      </c>
      <c r="N7513" t="s">
        <v>1439</v>
      </c>
    </row>
    <row r="7514" spans="3:14">
      <c r="C7514">
        <v>2100300025</v>
      </c>
      <c r="D7514">
        <v>6426000</v>
      </c>
      <c r="E7514" t="s">
        <v>188</v>
      </c>
      <c r="F7514">
        <v>5104010107</v>
      </c>
      <c r="G7514" s="13">
        <v>-46366</v>
      </c>
      <c r="I7514" t="s">
        <v>150</v>
      </c>
      <c r="J7514" t="s">
        <v>827</v>
      </c>
      <c r="K7514" t="s">
        <v>154</v>
      </c>
      <c r="L7514">
        <v>8000264246</v>
      </c>
      <c r="N7514" t="s">
        <v>1439</v>
      </c>
    </row>
    <row r="7515" spans="3:14">
      <c r="C7515">
        <v>2100300025</v>
      </c>
      <c r="D7515">
        <v>6426000</v>
      </c>
      <c r="E7515" t="s">
        <v>188</v>
      </c>
      <c r="F7515">
        <v>5104010107</v>
      </c>
      <c r="G7515" s="13">
        <v>-46366</v>
      </c>
      <c r="I7515" t="s">
        <v>150</v>
      </c>
      <c r="J7515" t="s">
        <v>1239</v>
      </c>
      <c r="K7515" t="s">
        <v>154</v>
      </c>
      <c r="L7515">
        <v>8000264276</v>
      </c>
      <c r="N7515" t="s">
        <v>1439</v>
      </c>
    </row>
    <row r="7516" spans="3:14">
      <c r="C7516">
        <v>2100300025</v>
      </c>
      <c r="D7516">
        <v>6426000</v>
      </c>
      <c r="E7516" t="s">
        <v>188</v>
      </c>
      <c r="F7516">
        <v>5104010107</v>
      </c>
      <c r="G7516" s="13">
        <v>-6000</v>
      </c>
      <c r="I7516" t="s">
        <v>150</v>
      </c>
      <c r="J7516" t="s">
        <v>799</v>
      </c>
      <c r="K7516" t="s">
        <v>154</v>
      </c>
      <c r="L7516">
        <v>8000283686</v>
      </c>
      <c r="N7516" t="s">
        <v>1439</v>
      </c>
    </row>
    <row r="7517" spans="3:14">
      <c r="C7517">
        <v>2100300025</v>
      </c>
      <c r="D7517">
        <v>6426000</v>
      </c>
      <c r="E7517" t="s">
        <v>188</v>
      </c>
      <c r="F7517">
        <v>5104010107</v>
      </c>
      <c r="G7517" s="13">
        <v>16585</v>
      </c>
      <c r="I7517" t="s">
        <v>150</v>
      </c>
      <c r="J7517" t="s">
        <v>916</v>
      </c>
      <c r="K7517" t="s">
        <v>154</v>
      </c>
      <c r="L7517">
        <v>8000189816</v>
      </c>
      <c r="N7517" t="s">
        <v>1042</v>
      </c>
    </row>
    <row r="7518" spans="3:14">
      <c r="C7518">
        <v>2100300025</v>
      </c>
      <c r="D7518">
        <v>6426000</v>
      </c>
      <c r="E7518" t="s">
        <v>188</v>
      </c>
      <c r="F7518">
        <v>5104010107</v>
      </c>
      <c r="G7518" s="13">
        <v>28000</v>
      </c>
      <c r="I7518" t="s">
        <v>150</v>
      </c>
      <c r="J7518" t="s">
        <v>799</v>
      </c>
      <c r="K7518" t="s">
        <v>154</v>
      </c>
      <c r="L7518">
        <v>8000255593</v>
      </c>
      <c r="N7518" t="s">
        <v>1031</v>
      </c>
    </row>
    <row r="7519" spans="3:14">
      <c r="C7519">
        <v>2100300025</v>
      </c>
      <c r="D7519">
        <v>6426000</v>
      </c>
      <c r="E7519" t="s">
        <v>188</v>
      </c>
      <c r="F7519">
        <v>5104010107</v>
      </c>
      <c r="G7519" s="13">
        <v>52965</v>
      </c>
      <c r="I7519" t="s">
        <v>150</v>
      </c>
      <c r="J7519" t="s">
        <v>824</v>
      </c>
      <c r="K7519" t="s">
        <v>154</v>
      </c>
      <c r="L7519">
        <v>8000243182</v>
      </c>
      <c r="N7519" t="s">
        <v>1031</v>
      </c>
    </row>
    <row r="7520" spans="3:14">
      <c r="C7520">
        <v>2100300025</v>
      </c>
      <c r="D7520">
        <v>6426000</v>
      </c>
      <c r="E7520" t="s">
        <v>188</v>
      </c>
      <c r="F7520">
        <v>5104010107</v>
      </c>
      <c r="G7520" s="13">
        <v>2266666</v>
      </c>
      <c r="I7520" t="s">
        <v>150</v>
      </c>
      <c r="J7520" t="s">
        <v>799</v>
      </c>
      <c r="K7520" t="s">
        <v>154</v>
      </c>
      <c r="L7520">
        <v>8000171228</v>
      </c>
      <c r="N7520" t="s">
        <v>1031</v>
      </c>
    </row>
    <row r="7521" spans="3:14">
      <c r="C7521">
        <v>2100300025</v>
      </c>
      <c r="D7521">
        <v>6426000</v>
      </c>
      <c r="E7521" t="s">
        <v>188</v>
      </c>
      <c r="F7521">
        <v>5104010107</v>
      </c>
      <c r="G7521" s="13">
        <v>8977</v>
      </c>
      <c r="I7521" t="s">
        <v>150</v>
      </c>
      <c r="J7521" t="s">
        <v>799</v>
      </c>
      <c r="K7521" t="s">
        <v>154</v>
      </c>
      <c r="L7521">
        <v>8000171372</v>
      </c>
      <c r="N7521" t="s">
        <v>1031</v>
      </c>
    </row>
    <row r="7522" spans="3:14">
      <c r="C7522">
        <v>2100300025</v>
      </c>
      <c r="D7522">
        <v>6426000</v>
      </c>
      <c r="E7522" t="s">
        <v>188</v>
      </c>
      <c r="F7522">
        <v>5104010107</v>
      </c>
      <c r="G7522" s="13">
        <v>2266666</v>
      </c>
      <c r="I7522" t="s">
        <v>150</v>
      </c>
      <c r="J7522" t="s">
        <v>799</v>
      </c>
      <c r="K7522" t="s">
        <v>154</v>
      </c>
      <c r="L7522">
        <v>8000162890</v>
      </c>
      <c r="N7522" t="s">
        <v>1031</v>
      </c>
    </row>
    <row r="7523" spans="3:14">
      <c r="C7523">
        <v>2100300025</v>
      </c>
      <c r="D7523">
        <v>6426000</v>
      </c>
      <c r="E7523" t="s">
        <v>188</v>
      </c>
      <c r="F7523">
        <v>5104010107</v>
      </c>
      <c r="G7523" s="13">
        <v>1353600</v>
      </c>
      <c r="I7523" t="s">
        <v>150</v>
      </c>
      <c r="J7523" t="s">
        <v>799</v>
      </c>
      <c r="K7523" t="s">
        <v>154</v>
      </c>
      <c r="L7523">
        <v>8000164155</v>
      </c>
      <c r="N7523" t="s">
        <v>1031</v>
      </c>
    </row>
    <row r="7524" spans="3:14">
      <c r="C7524">
        <v>2100300025</v>
      </c>
      <c r="D7524">
        <v>6426000</v>
      </c>
      <c r="E7524" t="s">
        <v>188</v>
      </c>
      <c r="F7524">
        <v>5104010107</v>
      </c>
      <c r="G7524" s="13">
        <v>12397</v>
      </c>
      <c r="I7524" t="s">
        <v>150</v>
      </c>
      <c r="J7524" t="s">
        <v>799</v>
      </c>
      <c r="K7524" t="s">
        <v>154</v>
      </c>
      <c r="L7524">
        <v>8000165467</v>
      </c>
      <c r="N7524" t="s">
        <v>1031</v>
      </c>
    </row>
    <row r="7525" spans="3:14">
      <c r="C7525">
        <v>2100300025</v>
      </c>
      <c r="D7525">
        <v>6426000</v>
      </c>
      <c r="E7525" t="s">
        <v>188</v>
      </c>
      <c r="F7525">
        <v>5104010107</v>
      </c>
      <c r="G7525" s="13">
        <v>8977</v>
      </c>
      <c r="I7525" t="s">
        <v>150</v>
      </c>
      <c r="J7525" t="s">
        <v>799</v>
      </c>
      <c r="K7525" t="s">
        <v>154</v>
      </c>
      <c r="L7525">
        <v>8000165506</v>
      </c>
      <c r="N7525" t="s">
        <v>1031</v>
      </c>
    </row>
    <row r="7526" spans="3:14">
      <c r="C7526">
        <v>2100300025</v>
      </c>
      <c r="D7526">
        <v>6426000</v>
      </c>
      <c r="E7526" t="s">
        <v>188</v>
      </c>
      <c r="F7526">
        <v>5104010107</v>
      </c>
      <c r="G7526" s="13">
        <v>28000</v>
      </c>
      <c r="I7526" t="s">
        <v>150</v>
      </c>
      <c r="J7526" t="s">
        <v>799</v>
      </c>
      <c r="K7526" t="s">
        <v>154</v>
      </c>
      <c r="L7526">
        <v>8000165507</v>
      </c>
      <c r="N7526" t="s">
        <v>1031</v>
      </c>
    </row>
    <row r="7527" spans="3:14">
      <c r="C7527">
        <v>2100300025</v>
      </c>
      <c r="D7527">
        <v>6426000</v>
      </c>
      <c r="E7527" t="s">
        <v>188</v>
      </c>
      <c r="F7527">
        <v>5104010107</v>
      </c>
      <c r="G7527" s="13">
        <v>402160</v>
      </c>
      <c r="I7527" t="s">
        <v>150</v>
      </c>
      <c r="J7527" t="s">
        <v>920</v>
      </c>
      <c r="K7527" t="s">
        <v>154</v>
      </c>
      <c r="L7527">
        <v>8000201452</v>
      </c>
      <c r="N7527" t="s">
        <v>1031</v>
      </c>
    </row>
    <row r="7528" spans="3:14">
      <c r="C7528">
        <v>2100300025</v>
      </c>
      <c r="D7528">
        <v>6426000</v>
      </c>
      <c r="E7528" t="s">
        <v>188</v>
      </c>
      <c r="F7528">
        <v>5104010107</v>
      </c>
      <c r="G7528" s="13">
        <v>52965</v>
      </c>
      <c r="I7528" t="s">
        <v>150</v>
      </c>
      <c r="J7528" t="s">
        <v>1185</v>
      </c>
      <c r="K7528" t="s">
        <v>154</v>
      </c>
      <c r="L7528">
        <v>8000234454</v>
      </c>
      <c r="N7528" t="s">
        <v>1031</v>
      </c>
    </row>
    <row r="7529" spans="3:14">
      <c r="C7529">
        <v>2100300025</v>
      </c>
      <c r="D7529">
        <v>6426000</v>
      </c>
      <c r="E7529" t="s">
        <v>188</v>
      </c>
      <c r="F7529">
        <v>5104010107</v>
      </c>
      <c r="G7529" s="13">
        <v>46366</v>
      </c>
      <c r="I7529" t="s">
        <v>150</v>
      </c>
      <c r="J7529" t="s">
        <v>1239</v>
      </c>
      <c r="K7529" t="s">
        <v>154</v>
      </c>
      <c r="L7529">
        <v>8000262767</v>
      </c>
      <c r="N7529" t="s">
        <v>1439</v>
      </c>
    </row>
    <row r="7530" spans="3:14">
      <c r="C7530">
        <v>2100300025</v>
      </c>
      <c r="D7530">
        <v>6426000</v>
      </c>
      <c r="E7530" t="s">
        <v>188</v>
      </c>
      <c r="F7530">
        <v>5104010107</v>
      </c>
      <c r="G7530" s="13">
        <v>46366</v>
      </c>
      <c r="I7530" t="s">
        <v>150</v>
      </c>
      <c r="J7530" t="s">
        <v>799</v>
      </c>
      <c r="K7530" t="s">
        <v>154</v>
      </c>
      <c r="L7530">
        <v>8000264141</v>
      </c>
      <c r="N7530" t="s">
        <v>1439</v>
      </c>
    </row>
    <row r="7531" spans="3:14">
      <c r="C7531">
        <v>2100300025</v>
      </c>
      <c r="D7531">
        <v>6426000</v>
      </c>
      <c r="E7531" t="s">
        <v>188</v>
      </c>
      <c r="F7531">
        <v>5104010107</v>
      </c>
      <c r="G7531" s="13">
        <v>35000</v>
      </c>
      <c r="I7531" t="s">
        <v>150</v>
      </c>
      <c r="J7531" t="s">
        <v>799</v>
      </c>
      <c r="K7531" t="s">
        <v>154</v>
      </c>
      <c r="L7531">
        <v>8000291957</v>
      </c>
      <c r="N7531" t="s">
        <v>1031</v>
      </c>
    </row>
    <row r="7532" spans="3:14">
      <c r="C7532">
        <v>2100300025</v>
      </c>
      <c r="D7532">
        <v>6426000</v>
      </c>
      <c r="E7532" t="s">
        <v>188</v>
      </c>
      <c r="F7532">
        <v>5104010107</v>
      </c>
      <c r="G7532" s="13">
        <v>6000</v>
      </c>
      <c r="I7532" t="s">
        <v>150</v>
      </c>
      <c r="J7532" t="s">
        <v>799</v>
      </c>
      <c r="K7532" t="s">
        <v>154</v>
      </c>
      <c r="L7532">
        <v>8000283687</v>
      </c>
      <c r="N7532" t="s">
        <v>1439</v>
      </c>
    </row>
    <row r="7533" spans="3:14">
      <c r="C7533">
        <v>2100300025</v>
      </c>
      <c r="D7533">
        <v>6426000</v>
      </c>
      <c r="E7533" t="s">
        <v>188</v>
      </c>
      <c r="F7533">
        <v>5104010107</v>
      </c>
      <c r="G7533" s="13">
        <v>6000</v>
      </c>
      <c r="I7533" t="s">
        <v>150</v>
      </c>
      <c r="J7533" t="s">
        <v>799</v>
      </c>
      <c r="K7533" t="s">
        <v>154</v>
      </c>
      <c r="L7533">
        <v>8000283691</v>
      </c>
      <c r="N7533" t="s">
        <v>1439</v>
      </c>
    </row>
    <row r="7534" spans="3:14">
      <c r="C7534">
        <v>2100300025</v>
      </c>
      <c r="D7534">
        <v>6426000</v>
      </c>
      <c r="E7534" t="s">
        <v>188</v>
      </c>
      <c r="F7534">
        <v>5104010107</v>
      </c>
      <c r="G7534" s="13">
        <v>35000</v>
      </c>
      <c r="I7534" t="s">
        <v>150</v>
      </c>
      <c r="J7534" t="s">
        <v>799</v>
      </c>
      <c r="K7534" t="s">
        <v>154</v>
      </c>
      <c r="L7534">
        <v>8000283815</v>
      </c>
      <c r="N7534" t="s">
        <v>1031</v>
      </c>
    </row>
    <row r="7535" spans="3:14">
      <c r="C7535">
        <v>2100300025</v>
      </c>
      <c r="D7535">
        <v>6426000</v>
      </c>
      <c r="E7535" t="s">
        <v>188</v>
      </c>
      <c r="F7535">
        <v>5104010107</v>
      </c>
      <c r="G7535" s="13">
        <v>-13375</v>
      </c>
      <c r="I7535" t="s">
        <v>150</v>
      </c>
      <c r="J7535" t="s">
        <v>579</v>
      </c>
      <c r="K7535" t="s">
        <v>154</v>
      </c>
      <c r="L7535">
        <v>8000498408</v>
      </c>
      <c r="N7535" t="s">
        <v>1031</v>
      </c>
    </row>
    <row r="7536" spans="3:14">
      <c r="C7536">
        <v>2100300025</v>
      </c>
      <c r="D7536">
        <v>6426000</v>
      </c>
      <c r="E7536" t="s">
        <v>188</v>
      </c>
      <c r="F7536">
        <v>5104010107</v>
      </c>
      <c r="G7536" s="13">
        <v>13375</v>
      </c>
      <c r="I7536" t="s">
        <v>150</v>
      </c>
      <c r="J7536" t="s">
        <v>579</v>
      </c>
      <c r="K7536" t="s">
        <v>154</v>
      </c>
      <c r="L7536">
        <v>8000497939</v>
      </c>
      <c r="N7536" t="s">
        <v>1031</v>
      </c>
    </row>
    <row r="7537" spans="3:14">
      <c r="C7537">
        <v>2100300025</v>
      </c>
      <c r="D7537">
        <v>6426000</v>
      </c>
      <c r="E7537" t="s">
        <v>188</v>
      </c>
      <c r="F7537">
        <v>5104010107</v>
      </c>
      <c r="G7537" s="13">
        <v>80250</v>
      </c>
      <c r="I7537" t="s">
        <v>150</v>
      </c>
      <c r="J7537" t="s">
        <v>579</v>
      </c>
      <c r="K7537" t="s">
        <v>154</v>
      </c>
      <c r="L7537">
        <v>8000493492</v>
      </c>
      <c r="N7537" t="s">
        <v>1031</v>
      </c>
    </row>
    <row r="7538" spans="3:14">
      <c r="C7538">
        <v>2100300025</v>
      </c>
      <c r="D7538">
        <v>6426000</v>
      </c>
      <c r="E7538" t="s">
        <v>188</v>
      </c>
      <c r="F7538">
        <v>5104010107</v>
      </c>
      <c r="G7538" s="13">
        <v>26750</v>
      </c>
      <c r="I7538" t="s">
        <v>150</v>
      </c>
      <c r="J7538" t="s">
        <v>929</v>
      </c>
      <c r="K7538" t="s">
        <v>154</v>
      </c>
      <c r="L7538">
        <v>8000404503</v>
      </c>
      <c r="N7538" t="s">
        <v>1441</v>
      </c>
    </row>
    <row r="7539" spans="3:14">
      <c r="C7539">
        <v>2100300025</v>
      </c>
      <c r="D7539">
        <v>6426000</v>
      </c>
      <c r="E7539" t="s">
        <v>188</v>
      </c>
      <c r="F7539">
        <v>5104010107</v>
      </c>
      <c r="G7539" s="13">
        <v>20651</v>
      </c>
      <c r="I7539" t="s">
        <v>150</v>
      </c>
      <c r="J7539" t="s">
        <v>1291</v>
      </c>
      <c r="K7539" t="s">
        <v>154</v>
      </c>
      <c r="L7539">
        <v>8000405364</v>
      </c>
      <c r="N7539" t="s">
        <v>1039</v>
      </c>
    </row>
    <row r="7540" spans="3:14">
      <c r="C7540">
        <v>2100300025</v>
      </c>
      <c r="D7540">
        <v>6426000</v>
      </c>
      <c r="E7540" t="s">
        <v>188</v>
      </c>
      <c r="F7540">
        <v>5104010107</v>
      </c>
      <c r="G7540" s="13">
        <v>6000</v>
      </c>
      <c r="I7540" t="s">
        <v>150</v>
      </c>
      <c r="J7540" t="s">
        <v>579</v>
      </c>
      <c r="K7540" t="s">
        <v>154</v>
      </c>
      <c r="L7540">
        <v>8000504734</v>
      </c>
      <c r="N7540" t="s">
        <v>1031</v>
      </c>
    </row>
    <row r="7541" spans="3:14">
      <c r="C7541">
        <v>2100300025</v>
      </c>
      <c r="D7541">
        <v>6426000</v>
      </c>
      <c r="E7541" t="s">
        <v>188</v>
      </c>
      <c r="F7541">
        <v>5104010107</v>
      </c>
      <c r="G7541" s="13">
        <v>11000</v>
      </c>
      <c r="I7541" t="s">
        <v>150</v>
      </c>
      <c r="J7541" t="s">
        <v>579</v>
      </c>
      <c r="K7541" t="s">
        <v>154</v>
      </c>
      <c r="L7541">
        <v>8000477896</v>
      </c>
      <c r="N7541" t="s">
        <v>1031</v>
      </c>
    </row>
    <row r="7542" spans="3:14">
      <c r="C7542">
        <v>2100300025</v>
      </c>
      <c r="D7542">
        <v>6426000</v>
      </c>
      <c r="E7542" t="s">
        <v>188</v>
      </c>
      <c r="F7542">
        <v>5104010107</v>
      </c>
      <c r="G7542" s="13">
        <v>-42650</v>
      </c>
      <c r="I7542" t="s">
        <v>150</v>
      </c>
      <c r="J7542" t="s">
        <v>837</v>
      </c>
      <c r="K7542" t="s">
        <v>154</v>
      </c>
      <c r="L7542">
        <v>8000576764</v>
      </c>
      <c r="N7542" t="s">
        <v>1436</v>
      </c>
    </row>
    <row r="7543" spans="3:14">
      <c r="C7543">
        <v>2100300025</v>
      </c>
      <c r="D7543">
        <v>6426000</v>
      </c>
      <c r="E7543" t="s">
        <v>188</v>
      </c>
      <c r="F7543">
        <v>5104010107</v>
      </c>
      <c r="G7543" s="13">
        <v>-6000</v>
      </c>
      <c r="I7543" t="s">
        <v>150</v>
      </c>
      <c r="J7543" t="s">
        <v>931</v>
      </c>
      <c r="K7543" t="s">
        <v>154</v>
      </c>
      <c r="L7543">
        <v>8000530047</v>
      </c>
      <c r="N7543" t="s">
        <v>1031</v>
      </c>
    </row>
    <row r="7544" spans="3:14">
      <c r="C7544">
        <v>2100300025</v>
      </c>
      <c r="D7544">
        <v>6426000</v>
      </c>
      <c r="E7544" t="s">
        <v>188</v>
      </c>
      <c r="F7544">
        <v>5104010107</v>
      </c>
      <c r="G7544" s="13">
        <v>8800</v>
      </c>
      <c r="I7544" t="s">
        <v>150</v>
      </c>
      <c r="J7544" t="s">
        <v>839</v>
      </c>
      <c r="K7544" t="s">
        <v>154</v>
      </c>
      <c r="L7544">
        <v>8000496886</v>
      </c>
      <c r="N7544" t="s">
        <v>1039</v>
      </c>
    </row>
    <row r="7545" spans="3:14">
      <c r="C7545">
        <v>2100300025</v>
      </c>
      <c r="D7545">
        <v>6426000</v>
      </c>
      <c r="E7545" t="s">
        <v>188</v>
      </c>
      <c r="F7545">
        <v>5104010107</v>
      </c>
      <c r="G7545" s="13">
        <v>145000</v>
      </c>
      <c r="I7545" t="s">
        <v>150</v>
      </c>
      <c r="J7545" t="s">
        <v>918</v>
      </c>
      <c r="K7545" t="s">
        <v>154</v>
      </c>
      <c r="L7545">
        <v>8000285142</v>
      </c>
      <c r="N7545" t="s">
        <v>1031</v>
      </c>
    </row>
    <row r="7546" spans="3:14">
      <c r="C7546">
        <v>2100300025</v>
      </c>
      <c r="D7546">
        <v>6426000</v>
      </c>
      <c r="E7546" t="s">
        <v>188</v>
      </c>
      <c r="F7546">
        <v>5104010107</v>
      </c>
      <c r="G7546" s="13">
        <v>44554.8</v>
      </c>
      <c r="I7546" t="s">
        <v>150</v>
      </c>
      <c r="J7546" t="s">
        <v>929</v>
      </c>
      <c r="K7546" t="s">
        <v>154</v>
      </c>
      <c r="L7546">
        <v>8000405312</v>
      </c>
      <c r="N7546" t="s">
        <v>1039</v>
      </c>
    </row>
    <row r="7547" spans="3:14">
      <c r="C7547">
        <v>2100300025</v>
      </c>
      <c r="D7547">
        <v>6426000</v>
      </c>
      <c r="E7547" t="s">
        <v>188</v>
      </c>
      <c r="F7547">
        <v>5104010107</v>
      </c>
      <c r="G7547" s="13">
        <v>175000</v>
      </c>
      <c r="I7547" t="s">
        <v>150</v>
      </c>
      <c r="J7547" t="s">
        <v>579</v>
      </c>
      <c r="K7547" t="s">
        <v>154</v>
      </c>
      <c r="L7547">
        <v>8000475582</v>
      </c>
      <c r="N7547" t="s">
        <v>1031</v>
      </c>
    </row>
    <row r="7548" spans="3:14">
      <c r="C7548">
        <v>2100300025</v>
      </c>
      <c r="D7548">
        <v>6426000</v>
      </c>
      <c r="E7548" t="s">
        <v>188</v>
      </c>
      <c r="F7548">
        <v>5104010107</v>
      </c>
      <c r="G7548" s="13">
        <v>14070.5</v>
      </c>
      <c r="I7548" t="s">
        <v>150</v>
      </c>
      <c r="J7548" t="s">
        <v>834</v>
      </c>
      <c r="K7548" t="s">
        <v>154</v>
      </c>
      <c r="L7548">
        <v>8000544112</v>
      </c>
      <c r="N7548" t="s">
        <v>1039</v>
      </c>
    </row>
    <row r="7549" spans="3:14">
      <c r="C7549">
        <v>2100300025</v>
      </c>
      <c r="D7549">
        <v>6426000</v>
      </c>
      <c r="E7549" t="s">
        <v>188</v>
      </c>
      <c r="F7549">
        <v>5104010107</v>
      </c>
      <c r="G7549" s="13">
        <v>42650</v>
      </c>
      <c r="I7549" t="s">
        <v>150</v>
      </c>
      <c r="J7549" t="s">
        <v>837</v>
      </c>
      <c r="K7549" t="s">
        <v>154</v>
      </c>
      <c r="L7549">
        <v>8000576760</v>
      </c>
      <c r="N7549" t="s">
        <v>1436</v>
      </c>
    </row>
    <row r="7550" spans="3:14">
      <c r="C7550">
        <v>2100300025</v>
      </c>
      <c r="D7550">
        <v>6426000</v>
      </c>
      <c r="E7550" t="s">
        <v>188</v>
      </c>
      <c r="F7550">
        <v>5104010107</v>
      </c>
      <c r="G7550" s="13">
        <v>35000</v>
      </c>
      <c r="I7550" t="s">
        <v>150</v>
      </c>
      <c r="J7550" t="s">
        <v>943</v>
      </c>
      <c r="K7550" t="s">
        <v>154</v>
      </c>
      <c r="L7550">
        <v>8000604201</v>
      </c>
      <c r="N7550" t="s">
        <v>1031</v>
      </c>
    </row>
    <row r="7551" spans="3:14">
      <c r="C7551">
        <v>2100300025</v>
      </c>
      <c r="D7551">
        <v>6426000</v>
      </c>
      <c r="E7551" t="s">
        <v>188</v>
      </c>
      <c r="F7551">
        <v>5104010107</v>
      </c>
      <c r="G7551" s="13">
        <v>400000</v>
      </c>
      <c r="I7551" t="s">
        <v>150</v>
      </c>
      <c r="J7551" t="s">
        <v>947</v>
      </c>
      <c r="K7551" t="s">
        <v>154</v>
      </c>
      <c r="L7551">
        <v>8000806709</v>
      </c>
      <c r="N7551" t="s">
        <v>1031</v>
      </c>
    </row>
    <row r="7552" spans="3:14">
      <c r="C7552">
        <v>2100300025</v>
      </c>
      <c r="D7552">
        <v>6426000</v>
      </c>
      <c r="E7552" t="s">
        <v>188</v>
      </c>
      <c r="F7552">
        <v>5104010107</v>
      </c>
      <c r="G7552" s="13">
        <v>28890</v>
      </c>
      <c r="I7552" t="s">
        <v>150</v>
      </c>
      <c r="J7552" t="s">
        <v>849</v>
      </c>
      <c r="K7552" t="s">
        <v>154</v>
      </c>
      <c r="L7552">
        <v>8000807013</v>
      </c>
      <c r="N7552" t="s">
        <v>1039</v>
      </c>
    </row>
    <row r="7553" spans="3:14">
      <c r="C7553">
        <v>2100300025</v>
      </c>
      <c r="D7553">
        <v>6426000</v>
      </c>
      <c r="E7553" t="s">
        <v>188</v>
      </c>
      <c r="F7553">
        <v>5104010107</v>
      </c>
      <c r="G7553" s="13">
        <v>15194</v>
      </c>
      <c r="I7553" t="s">
        <v>150</v>
      </c>
      <c r="J7553" t="s">
        <v>959</v>
      </c>
      <c r="K7553" t="s">
        <v>154</v>
      </c>
      <c r="L7553">
        <v>8000920319</v>
      </c>
      <c r="N7553" t="s">
        <v>1439</v>
      </c>
    </row>
    <row r="7554" spans="3:14">
      <c r="C7554">
        <v>2100300025</v>
      </c>
      <c r="D7554">
        <v>6426000</v>
      </c>
      <c r="E7554" t="s">
        <v>188</v>
      </c>
      <c r="F7554">
        <v>5104010107</v>
      </c>
      <c r="G7554" s="13">
        <v>13375</v>
      </c>
      <c r="I7554" t="s">
        <v>150</v>
      </c>
      <c r="J7554" t="s">
        <v>817</v>
      </c>
      <c r="K7554" t="s">
        <v>154</v>
      </c>
      <c r="L7554">
        <v>8001839553</v>
      </c>
      <c r="N7554" t="s">
        <v>1031</v>
      </c>
    </row>
    <row r="7555" spans="3:14">
      <c r="C7555">
        <v>2100300025</v>
      </c>
      <c r="D7555">
        <v>6426000</v>
      </c>
      <c r="E7555" t="s">
        <v>188</v>
      </c>
      <c r="F7555">
        <v>5104010107</v>
      </c>
      <c r="G7555" s="13">
        <v>56000</v>
      </c>
      <c r="I7555" t="s">
        <v>150</v>
      </c>
      <c r="J7555" t="s">
        <v>799</v>
      </c>
      <c r="K7555" t="s">
        <v>154</v>
      </c>
      <c r="L7555">
        <v>8000165005</v>
      </c>
      <c r="N7555" t="s">
        <v>1031</v>
      </c>
    </row>
    <row r="7556" spans="3:14">
      <c r="C7556">
        <v>2100300025</v>
      </c>
      <c r="D7556">
        <v>6426000</v>
      </c>
      <c r="E7556" t="s">
        <v>188</v>
      </c>
      <c r="F7556">
        <v>5104010107</v>
      </c>
      <c r="G7556" s="13">
        <v>52965</v>
      </c>
      <c r="I7556" t="s">
        <v>150</v>
      </c>
      <c r="J7556" t="s">
        <v>825</v>
      </c>
      <c r="K7556" t="s">
        <v>154</v>
      </c>
      <c r="L7556">
        <v>8000239635</v>
      </c>
      <c r="N7556" t="s">
        <v>1031</v>
      </c>
    </row>
    <row r="7557" spans="3:14">
      <c r="C7557">
        <v>2100300025</v>
      </c>
      <c r="D7557">
        <v>6426000</v>
      </c>
      <c r="E7557" t="s">
        <v>188</v>
      </c>
      <c r="F7557">
        <v>5104010107</v>
      </c>
      <c r="G7557" s="13">
        <v>119840</v>
      </c>
      <c r="I7557" t="s">
        <v>150</v>
      </c>
      <c r="J7557" t="s">
        <v>916</v>
      </c>
      <c r="K7557" t="s">
        <v>154</v>
      </c>
      <c r="L7557">
        <v>8000300450</v>
      </c>
      <c r="N7557" t="s">
        <v>1439</v>
      </c>
    </row>
    <row r="7558" spans="3:14">
      <c r="C7558">
        <v>2100300025</v>
      </c>
      <c r="D7558">
        <v>6426000</v>
      </c>
      <c r="E7558" t="s">
        <v>188</v>
      </c>
      <c r="F7558">
        <v>5104010107</v>
      </c>
      <c r="G7558" s="13">
        <v>6000</v>
      </c>
      <c r="I7558" t="s">
        <v>150</v>
      </c>
      <c r="J7558" t="s">
        <v>799</v>
      </c>
      <c r="K7558" t="s">
        <v>154</v>
      </c>
      <c r="L7558">
        <v>8000234464</v>
      </c>
      <c r="N7558" t="s">
        <v>1439</v>
      </c>
    </row>
    <row r="7559" spans="3:14">
      <c r="C7559">
        <v>2100300025</v>
      </c>
      <c r="D7559">
        <v>6426000</v>
      </c>
      <c r="E7559" t="s">
        <v>188</v>
      </c>
      <c r="F7559">
        <v>5104010107</v>
      </c>
      <c r="G7559" s="13">
        <v>400400</v>
      </c>
      <c r="I7559" t="s">
        <v>150</v>
      </c>
      <c r="J7559" t="s">
        <v>1185</v>
      </c>
      <c r="K7559" t="s">
        <v>154</v>
      </c>
      <c r="L7559">
        <v>8000234467</v>
      </c>
      <c r="N7559" t="s">
        <v>1031</v>
      </c>
    </row>
    <row r="7560" spans="3:14">
      <c r="C7560">
        <v>2100300025</v>
      </c>
      <c r="D7560">
        <v>6426000</v>
      </c>
      <c r="E7560" t="s">
        <v>188</v>
      </c>
      <c r="F7560">
        <v>5104010107</v>
      </c>
      <c r="G7560" s="13">
        <v>10165</v>
      </c>
      <c r="I7560" t="s">
        <v>150</v>
      </c>
      <c r="J7560" t="s">
        <v>918</v>
      </c>
      <c r="K7560" t="s">
        <v>154</v>
      </c>
      <c r="L7560">
        <v>8000256672</v>
      </c>
      <c r="N7560" t="s">
        <v>1039</v>
      </c>
    </row>
    <row r="7561" spans="3:14">
      <c r="C7561">
        <v>2100300025</v>
      </c>
      <c r="D7561">
        <v>6426000</v>
      </c>
      <c r="E7561" t="s">
        <v>188</v>
      </c>
      <c r="F7561">
        <v>5104010107</v>
      </c>
      <c r="G7561" s="13">
        <v>-8560</v>
      </c>
      <c r="I7561" t="s">
        <v>150</v>
      </c>
      <c r="J7561" t="s">
        <v>579</v>
      </c>
      <c r="K7561" t="s">
        <v>154</v>
      </c>
      <c r="L7561">
        <v>8000494124</v>
      </c>
      <c r="N7561" t="s">
        <v>1031</v>
      </c>
    </row>
    <row r="7562" spans="3:14">
      <c r="C7562">
        <v>2100300025</v>
      </c>
      <c r="D7562">
        <v>6426000</v>
      </c>
      <c r="E7562" t="s">
        <v>188</v>
      </c>
      <c r="F7562">
        <v>5104010107</v>
      </c>
      <c r="G7562" s="13">
        <v>-11000</v>
      </c>
      <c r="I7562" t="s">
        <v>150</v>
      </c>
      <c r="J7562" t="s">
        <v>579</v>
      </c>
      <c r="K7562" t="s">
        <v>154</v>
      </c>
      <c r="L7562">
        <v>8000498027</v>
      </c>
      <c r="N7562" t="s">
        <v>1031</v>
      </c>
    </row>
    <row r="7563" spans="3:14">
      <c r="C7563">
        <v>2100300025</v>
      </c>
      <c r="D7563">
        <v>6426000</v>
      </c>
      <c r="E7563" t="s">
        <v>188</v>
      </c>
      <c r="F7563">
        <v>5104010107</v>
      </c>
      <c r="G7563" s="13">
        <v>-8560</v>
      </c>
      <c r="I7563" t="s">
        <v>150</v>
      </c>
      <c r="J7563" t="s">
        <v>579</v>
      </c>
      <c r="K7563" t="s">
        <v>154</v>
      </c>
      <c r="L7563">
        <v>8000510177</v>
      </c>
      <c r="N7563" t="s">
        <v>1031</v>
      </c>
    </row>
    <row r="7564" spans="3:14">
      <c r="C7564">
        <v>2100300025</v>
      </c>
      <c r="D7564">
        <v>6426000</v>
      </c>
      <c r="E7564" t="s">
        <v>188</v>
      </c>
      <c r="F7564">
        <v>5104010107</v>
      </c>
      <c r="G7564" s="13">
        <v>-80250</v>
      </c>
      <c r="I7564" t="s">
        <v>150</v>
      </c>
      <c r="J7564" t="s">
        <v>579</v>
      </c>
      <c r="K7564" t="s">
        <v>154</v>
      </c>
      <c r="L7564">
        <v>8000505218</v>
      </c>
      <c r="N7564" t="s">
        <v>1031</v>
      </c>
    </row>
    <row r="7565" spans="3:14">
      <c r="C7565">
        <v>2100300025</v>
      </c>
      <c r="D7565">
        <v>6426000</v>
      </c>
      <c r="E7565" t="s">
        <v>188</v>
      </c>
      <c r="F7565">
        <v>5104010107</v>
      </c>
      <c r="G7565" s="13">
        <v>56000</v>
      </c>
      <c r="I7565" t="s">
        <v>150</v>
      </c>
      <c r="J7565" t="s">
        <v>929</v>
      </c>
      <c r="K7565" t="s">
        <v>154</v>
      </c>
      <c r="L7565">
        <v>8000426354</v>
      </c>
      <c r="N7565" t="s">
        <v>1031</v>
      </c>
    </row>
    <row r="7566" spans="3:14">
      <c r="C7566">
        <v>2100300025</v>
      </c>
      <c r="D7566">
        <v>6426000</v>
      </c>
      <c r="E7566" t="s">
        <v>188</v>
      </c>
      <c r="F7566">
        <v>5104010107</v>
      </c>
      <c r="G7566" s="13">
        <v>12000</v>
      </c>
      <c r="I7566" t="s">
        <v>150</v>
      </c>
      <c r="J7566" t="s">
        <v>926</v>
      </c>
      <c r="K7566" t="s">
        <v>154</v>
      </c>
      <c r="L7566">
        <v>8000418300</v>
      </c>
      <c r="N7566" t="s">
        <v>1039</v>
      </c>
    </row>
    <row r="7567" spans="3:14">
      <c r="C7567">
        <v>2100300025</v>
      </c>
      <c r="D7567">
        <v>6426000</v>
      </c>
      <c r="E7567" t="s">
        <v>188</v>
      </c>
      <c r="F7567">
        <v>5104010107</v>
      </c>
      <c r="G7567" s="13">
        <v>400400</v>
      </c>
      <c r="I7567" t="s">
        <v>150</v>
      </c>
      <c r="J7567" t="s">
        <v>579</v>
      </c>
      <c r="K7567" t="s">
        <v>154</v>
      </c>
      <c r="L7567">
        <v>8000495569</v>
      </c>
      <c r="N7567" t="s">
        <v>1031</v>
      </c>
    </row>
    <row r="7568" spans="3:14">
      <c r="C7568">
        <v>2100300025</v>
      </c>
      <c r="D7568">
        <v>6426000</v>
      </c>
      <c r="E7568" t="s">
        <v>188</v>
      </c>
      <c r="F7568">
        <v>5104010107</v>
      </c>
      <c r="G7568" s="13">
        <v>8560</v>
      </c>
      <c r="I7568" t="s">
        <v>150</v>
      </c>
      <c r="J7568" t="s">
        <v>579</v>
      </c>
      <c r="K7568" t="s">
        <v>154</v>
      </c>
      <c r="L7568">
        <v>8000497614</v>
      </c>
      <c r="N7568" t="s">
        <v>1031</v>
      </c>
    </row>
    <row r="7569" spans="3:14">
      <c r="C7569">
        <v>2100300025</v>
      </c>
      <c r="D7569">
        <v>6426000</v>
      </c>
      <c r="E7569" t="s">
        <v>188</v>
      </c>
      <c r="F7569">
        <v>5104010107</v>
      </c>
      <c r="G7569" s="13">
        <v>37500</v>
      </c>
      <c r="I7569" t="s">
        <v>150</v>
      </c>
      <c r="J7569" t="s">
        <v>579</v>
      </c>
      <c r="K7569" t="s">
        <v>154</v>
      </c>
      <c r="L7569">
        <v>8000496957</v>
      </c>
      <c r="N7569" t="s">
        <v>1031</v>
      </c>
    </row>
    <row r="7570" spans="3:14">
      <c r="C7570">
        <v>2100300025</v>
      </c>
      <c r="D7570">
        <v>6426000</v>
      </c>
      <c r="E7570" t="s">
        <v>188</v>
      </c>
      <c r="F7570">
        <v>5104010107</v>
      </c>
      <c r="G7570" s="13">
        <v>11000</v>
      </c>
      <c r="I7570" t="s">
        <v>150</v>
      </c>
      <c r="J7570" t="s">
        <v>579</v>
      </c>
      <c r="K7570" t="s">
        <v>154</v>
      </c>
      <c r="L7570">
        <v>8000497867</v>
      </c>
      <c r="N7570" t="s">
        <v>1031</v>
      </c>
    </row>
    <row r="7571" spans="3:14">
      <c r="C7571">
        <v>2100300025</v>
      </c>
      <c r="D7571">
        <v>6426000</v>
      </c>
      <c r="E7571" t="s">
        <v>188</v>
      </c>
      <c r="F7571">
        <v>5104010107</v>
      </c>
      <c r="G7571" s="13">
        <v>42800</v>
      </c>
      <c r="I7571" t="s">
        <v>150</v>
      </c>
      <c r="J7571" t="s">
        <v>554</v>
      </c>
      <c r="K7571" t="s">
        <v>154</v>
      </c>
      <c r="L7571">
        <v>8000365992</v>
      </c>
      <c r="N7571" t="s">
        <v>1436</v>
      </c>
    </row>
    <row r="7572" spans="3:14">
      <c r="C7572">
        <v>2100300025</v>
      </c>
      <c r="D7572">
        <v>6426000</v>
      </c>
      <c r="E7572" t="s">
        <v>188</v>
      </c>
      <c r="F7572">
        <v>5104010107</v>
      </c>
      <c r="G7572" s="13">
        <v>322500</v>
      </c>
      <c r="I7572" t="s">
        <v>150</v>
      </c>
      <c r="J7572" t="s">
        <v>928</v>
      </c>
      <c r="K7572" t="s">
        <v>154</v>
      </c>
      <c r="L7572">
        <v>8000353033</v>
      </c>
      <c r="N7572" t="s">
        <v>1031</v>
      </c>
    </row>
    <row r="7573" spans="3:14">
      <c r="C7573">
        <v>2100300025</v>
      </c>
      <c r="D7573">
        <v>6426000</v>
      </c>
      <c r="E7573" t="s">
        <v>188</v>
      </c>
      <c r="F7573">
        <v>5104010107</v>
      </c>
      <c r="G7573" s="13">
        <v>8560</v>
      </c>
      <c r="I7573" t="s">
        <v>150</v>
      </c>
      <c r="J7573" t="s">
        <v>579</v>
      </c>
      <c r="K7573" t="s">
        <v>154</v>
      </c>
      <c r="L7573">
        <v>8000509748</v>
      </c>
      <c r="N7573" t="s">
        <v>1031</v>
      </c>
    </row>
    <row r="7574" spans="3:14">
      <c r="C7574">
        <v>2100300025</v>
      </c>
      <c r="D7574">
        <v>6426000</v>
      </c>
      <c r="E7574" t="s">
        <v>188</v>
      </c>
      <c r="F7574">
        <v>5104010107</v>
      </c>
      <c r="G7574" s="13">
        <v>13375</v>
      </c>
      <c r="I7574" t="s">
        <v>150</v>
      </c>
      <c r="J7574" t="s">
        <v>579</v>
      </c>
      <c r="K7574" t="s">
        <v>154</v>
      </c>
      <c r="L7574">
        <v>8000473665</v>
      </c>
      <c r="N7574" t="s">
        <v>1031</v>
      </c>
    </row>
    <row r="7575" spans="3:14">
      <c r="C7575">
        <v>2100300025</v>
      </c>
      <c r="D7575">
        <v>6426000</v>
      </c>
      <c r="E7575" t="s">
        <v>188</v>
      </c>
      <c r="F7575">
        <v>5104010107</v>
      </c>
      <c r="G7575" s="13">
        <v>64200</v>
      </c>
      <c r="I7575" t="s">
        <v>150</v>
      </c>
      <c r="J7575" t="s">
        <v>579</v>
      </c>
      <c r="K7575" t="s">
        <v>154</v>
      </c>
      <c r="L7575">
        <v>8000475138</v>
      </c>
      <c r="N7575" t="s">
        <v>1031</v>
      </c>
    </row>
    <row r="7576" spans="3:14">
      <c r="C7576">
        <v>2100300025</v>
      </c>
      <c r="D7576">
        <v>6426000</v>
      </c>
      <c r="E7576" t="s">
        <v>188</v>
      </c>
      <c r="F7576">
        <v>5104010107</v>
      </c>
      <c r="G7576" s="13">
        <v>80250</v>
      </c>
      <c r="I7576" t="s">
        <v>150</v>
      </c>
      <c r="J7576" t="s">
        <v>579</v>
      </c>
      <c r="K7576" t="s">
        <v>154</v>
      </c>
      <c r="L7576">
        <v>8000505601</v>
      </c>
      <c r="N7576" t="s">
        <v>1031</v>
      </c>
    </row>
    <row r="7577" spans="3:14">
      <c r="C7577">
        <v>2100300025</v>
      </c>
      <c r="D7577">
        <v>6426000</v>
      </c>
      <c r="E7577" t="s">
        <v>188</v>
      </c>
      <c r="F7577">
        <v>5104010107</v>
      </c>
      <c r="G7577" s="13">
        <v>8560</v>
      </c>
      <c r="I7577" t="s">
        <v>150</v>
      </c>
      <c r="J7577" t="s">
        <v>579</v>
      </c>
      <c r="K7577" t="s">
        <v>154</v>
      </c>
      <c r="L7577">
        <v>8000469129</v>
      </c>
      <c r="N7577" t="s">
        <v>1031</v>
      </c>
    </row>
    <row r="7578" spans="3:14">
      <c r="C7578">
        <v>2100300025</v>
      </c>
      <c r="D7578">
        <v>6426000</v>
      </c>
      <c r="E7578" t="s">
        <v>188</v>
      </c>
      <c r="F7578">
        <v>5104010107</v>
      </c>
      <c r="G7578" s="13">
        <v>210000</v>
      </c>
      <c r="I7578" t="s">
        <v>150</v>
      </c>
      <c r="J7578" t="s">
        <v>829</v>
      </c>
      <c r="K7578" t="s">
        <v>154</v>
      </c>
      <c r="L7578">
        <v>8000465908</v>
      </c>
      <c r="N7578" t="s">
        <v>1031</v>
      </c>
    </row>
    <row r="7579" spans="3:14">
      <c r="C7579">
        <v>2100300025</v>
      </c>
      <c r="D7579">
        <v>6426000</v>
      </c>
      <c r="E7579" t="s">
        <v>188</v>
      </c>
      <c r="F7579">
        <v>5104010107</v>
      </c>
      <c r="G7579" s="13">
        <v>-65000</v>
      </c>
      <c r="I7579" t="s">
        <v>150</v>
      </c>
      <c r="J7579" t="s">
        <v>933</v>
      </c>
      <c r="K7579" t="s">
        <v>154</v>
      </c>
      <c r="L7579">
        <v>8000551371</v>
      </c>
      <c r="N7579" t="s">
        <v>1039</v>
      </c>
    </row>
    <row r="7580" spans="3:14">
      <c r="C7580">
        <v>2100300025</v>
      </c>
      <c r="D7580">
        <v>6426000</v>
      </c>
      <c r="E7580" t="s">
        <v>188</v>
      </c>
      <c r="F7580">
        <v>5104010107</v>
      </c>
      <c r="G7580" s="13">
        <v>5136</v>
      </c>
      <c r="I7580" t="s">
        <v>150</v>
      </c>
      <c r="J7580" t="s">
        <v>937</v>
      </c>
      <c r="K7580" t="s">
        <v>154</v>
      </c>
      <c r="L7580">
        <v>8000551210</v>
      </c>
      <c r="N7580" t="s">
        <v>1031</v>
      </c>
    </row>
    <row r="7581" spans="3:14">
      <c r="C7581">
        <v>2100300025</v>
      </c>
      <c r="D7581">
        <v>6426000</v>
      </c>
      <c r="E7581" t="s">
        <v>188</v>
      </c>
      <c r="F7581">
        <v>5104010107</v>
      </c>
      <c r="G7581" s="13">
        <v>65000</v>
      </c>
      <c r="I7581" t="s">
        <v>150</v>
      </c>
      <c r="J7581" t="s">
        <v>933</v>
      </c>
      <c r="K7581" t="s">
        <v>154</v>
      </c>
      <c r="L7581">
        <v>8000551373</v>
      </c>
      <c r="N7581" t="s">
        <v>1039</v>
      </c>
    </row>
    <row r="7582" spans="3:14">
      <c r="C7582">
        <v>2100300025</v>
      </c>
      <c r="D7582">
        <v>6426000</v>
      </c>
      <c r="E7582" t="s">
        <v>188</v>
      </c>
      <c r="F7582">
        <v>5104010107</v>
      </c>
      <c r="G7582" s="13">
        <v>35310</v>
      </c>
      <c r="I7582" t="s">
        <v>150</v>
      </c>
      <c r="J7582" t="s">
        <v>837</v>
      </c>
      <c r="K7582" t="s">
        <v>154</v>
      </c>
      <c r="L7582">
        <v>8000536896</v>
      </c>
      <c r="N7582" t="s">
        <v>1441</v>
      </c>
    </row>
    <row r="7583" spans="3:14">
      <c r="C7583">
        <v>2100300025</v>
      </c>
      <c r="D7583">
        <v>6426000</v>
      </c>
      <c r="E7583" t="s">
        <v>188</v>
      </c>
      <c r="F7583">
        <v>5104010107</v>
      </c>
      <c r="G7583" s="13">
        <v>-322500</v>
      </c>
      <c r="I7583" t="s">
        <v>150</v>
      </c>
      <c r="J7583" t="s">
        <v>1203</v>
      </c>
      <c r="K7583" t="s">
        <v>154</v>
      </c>
      <c r="L7583">
        <v>8000685863</v>
      </c>
      <c r="N7583" t="s">
        <v>1031</v>
      </c>
    </row>
    <row r="7584" spans="3:14">
      <c r="C7584">
        <v>2100300025</v>
      </c>
      <c r="D7584">
        <v>6426000</v>
      </c>
      <c r="E7584" t="s">
        <v>188</v>
      </c>
      <c r="F7584">
        <v>5104010107</v>
      </c>
      <c r="G7584" s="13">
        <v>322500</v>
      </c>
      <c r="I7584" t="s">
        <v>150</v>
      </c>
      <c r="J7584" t="s">
        <v>1203</v>
      </c>
      <c r="K7584" t="s">
        <v>154</v>
      </c>
      <c r="L7584">
        <v>8000651072</v>
      </c>
      <c r="N7584" t="s">
        <v>1031</v>
      </c>
    </row>
    <row r="7585" spans="3:14">
      <c r="C7585">
        <v>2100300025</v>
      </c>
      <c r="D7585">
        <v>6426000</v>
      </c>
      <c r="E7585" t="s">
        <v>188</v>
      </c>
      <c r="F7585">
        <v>5104010107</v>
      </c>
      <c r="G7585" s="13">
        <v>-28000</v>
      </c>
      <c r="I7585" t="s">
        <v>150</v>
      </c>
      <c r="J7585" t="s">
        <v>948</v>
      </c>
      <c r="K7585" t="s">
        <v>154</v>
      </c>
      <c r="L7585">
        <v>8000748773</v>
      </c>
      <c r="N7585" t="s">
        <v>1031</v>
      </c>
    </row>
    <row r="7586" spans="3:14">
      <c r="C7586">
        <v>2100300025</v>
      </c>
      <c r="D7586">
        <v>6426000</v>
      </c>
      <c r="E7586" t="s">
        <v>188</v>
      </c>
      <c r="F7586">
        <v>5104010107</v>
      </c>
      <c r="G7586" s="13">
        <v>-46366</v>
      </c>
      <c r="I7586" t="s">
        <v>150</v>
      </c>
      <c r="J7586" t="s">
        <v>957</v>
      </c>
      <c r="K7586" t="s">
        <v>154</v>
      </c>
      <c r="L7586">
        <v>8000850489</v>
      </c>
      <c r="N7586" t="s">
        <v>1439</v>
      </c>
    </row>
    <row r="7587" spans="3:14">
      <c r="C7587">
        <v>2100300025</v>
      </c>
      <c r="D7587">
        <v>6426000</v>
      </c>
      <c r="E7587" t="s">
        <v>188</v>
      </c>
      <c r="F7587">
        <v>5104010107</v>
      </c>
      <c r="G7587" s="13">
        <v>5200</v>
      </c>
      <c r="I7587" t="s">
        <v>150</v>
      </c>
      <c r="J7587" t="s">
        <v>947</v>
      </c>
      <c r="K7587" t="s">
        <v>154</v>
      </c>
      <c r="L7587">
        <v>8000779795</v>
      </c>
      <c r="N7587" t="s">
        <v>1039</v>
      </c>
    </row>
    <row r="7588" spans="3:14">
      <c r="C7588">
        <v>2100300025</v>
      </c>
      <c r="D7588">
        <v>6426000</v>
      </c>
      <c r="E7588" t="s">
        <v>188</v>
      </c>
      <c r="F7588">
        <v>5104010107</v>
      </c>
      <c r="G7588" s="13">
        <v>10000</v>
      </c>
      <c r="I7588" t="s">
        <v>150</v>
      </c>
      <c r="J7588" t="s">
        <v>951</v>
      </c>
      <c r="K7588" t="s">
        <v>154</v>
      </c>
      <c r="L7588">
        <v>8000821809</v>
      </c>
      <c r="N7588" t="s">
        <v>1031</v>
      </c>
    </row>
    <row r="7589" spans="3:14">
      <c r="C7589">
        <v>2100300025</v>
      </c>
      <c r="D7589">
        <v>6426000</v>
      </c>
      <c r="E7589" t="s">
        <v>188</v>
      </c>
      <c r="F7589">
        <v>5104010107</v>
      </c>
      <c r="G7589" s="13">
        <v>1353600</v>
      </c>
      <c r="I7589" t="s">
        <v>150</v>
      </c>
      <c r="J7589" t="s">
        <v>952</v>
      </c>
      <c r="K7589" t="s">
        <v>154</v>
      </c>
      <c r="L7589">
        <v>8000806475</v>
      </c>
      <c r="N7589" t="s">
        <v>1031</v>
      </c>
    </row>
    <row r="7590" spans="3:14">
      <c r="C7590">
        <v>2100300025</v>
      </c>
      <c r="D7590">
        <v>6426000</v>
      </c>
      <c r="E7590" t="s">
        <v>188</v>
      </c>
      <c r="F7590">
        <v>5104010107</v>
      </c>
      <c r="G7590" s="13">
        <v>15200</v>
      </c>
      <c r="I7590" t="s">
        <v>150</v>
      </c>
      <c r="J7590" t="s">
        <v>952</v>
      </c>
      <c r="K7590" t="s">
        <v>154</v>
      </c>
      <c r="L7590">
        <v>8000807015</v>
      </c>
      <c r="N7590" t="s">
        <v>1439</v>
      </c>
    </row>
    <row r="7591" spans="3:14">
      <c r="C7591">
        <v>2100300025</v>
      </c>
      <c r="D7591">
        <v>6426000</v>
      </c>
      <c r="E7591" t="s">
        <v>188</v>
      </c>
      <c r="F7591">
        <v>5104010107</v>
      </c>
      <c r="G7591" s="13">
        <v>9095</v>
      </c>
      <c r="I7591" t="s">
        <v>150</v>
      </c>
      <c r="J7591" t="s">
        <v>952</v>
      </c>
      <c r="K7591" t="s">
        <v>154</v>
      </c>
      <c r="L7591">
        <v>8000807019</v>
      </c>
      <c r="N7591" t="s">
        <v>1439</v>
      </c>
    </row>
    <row r="7592" spans="3:14">
      <c r="C7592">
        <v>2100300025</v>
      </c>
      <c r="D7592">
        <v>6426000</v>
      </c>
      <c r="E7592" t="s">
        <v>188</v>
      </c>
      <c r="F7592">
        <v>5104010107</v>
      </c>
      <c r="G7592" s="13">
        <v>7000</v>
      </c>
      <c r="I7592" t="s">
        <v>150</v>
      </c>
      <c r="J7592" t="s">
        <v>952</v>
      </c>
      <c r="K7592" t="s">
        <v>154</v>
      </c>
      <c r="L7592">
        <v>8000807023</v>
      </c>
      <c r="N7592" t="s">
        <v>1039</v>
      </c>
    </row>
    <row r="7593" spans="3:14">
      <c r="C7593">
        <v>2100300025</v>
      </c>
      <c r="D7593">
        <v>6426000</v>
      </c>
      <c r="E7593" t="s">
        <v>188</v>
      </c>
      <c r="F7593">
        <v>5104010107</v>
      </c>
      <c r="G7593" s="13">
        <v>17800</v>
      </c>
      <c r="I7593" t="s">
        <v>150</v>
      </c>
      <c r="J7593" t="s">
        <v>957</v>
      </c>
      <c r="K7593" t="s">
        <v>154</v>
      </c>
      <c r="L7593">
        <v>8000843527</v>
      </c>
      <c r="N7593" t="s">
        <v>1439</v>
      </c>
    </row>
    <row r="7594" spans="3:14">
      <c r="C7594">
        <v>2100300025</v>
      </c>
      <c r="D7594">
        <v>6426000</v>
      </c>
      <c r="E7594" t="s">
        <v>188</v>
      </c>
      <c r="F7594">
        <v>5104010107</v>
      </c>
      <c r="G7594" s="13">
        <v>400400</v>
      </c>
      <c r="I7594" t="s">
        <v>150</v>
      </c>
      <c r="J7594" t="s">
        <v>585</v>
      </c>
      <c r="K7594" t="s">
        <v>154</v>
      </c>
      <c r="L7594">
        <v>8000926650</v>
      </c>
      <c r="N7594" t="s">
        <v>1031</v>
      </c>
    </row>
    <row r="7595" spans="3:14">
      <c r="C7595">
        <v>2100300025</v>
      </c>
      <c r="D7595">
        <v>6426000</v>
      </c>
      <c r="E7595" t="s">
        <v>188</v>
      </c>
      <c r="F7595">
        <v>5104010107</v>
      </c>
      <c r="G7595" s="13">
        <v>434377</v>
      </c>
      <c r="I7595" t="s">
        <v>150</v>
      </c>
      <c r="J7595" t="s">
        <v>961</v>
      </c>
      <c r="K7595" t="s">
        <v>154</v>
      </c>
      <c r="L7595">
        <v>8000966829</v>
      </c>
      <c r="N7595" t="s">
        <v>1031</v>
      </c>
    </row>
    <row r="7596" spans="3:14">
      <c r="C7596">
        <v>2100300025</v>
      </c>
      <c r="D7596">
        <v>6426000</v>
      </c>
      <c r="E7596" t="s">
        <v>188</v>
      </c>
      <c r="F7596">
        <v>5104010107</v>
      </c>
      <c r="G7596" s="13">
        <v>493270</v>
      </c>
      <c r="I7596" t="s">
        <v>150</v>
      </c>
      <c r="J7596" t="s">
        <v>966</v>
      </c>
      <c r="K7596" t="s">
        <v>154</v>
      </c>
      <c r="L7596">
        <v>8000930833</v>
      </c>
      <c r="N7596" t="s">
        <v>1439</v>
      </c>
    </row>
    <row r="7597" spans="3:14">
      <c r="C7597">
        <v>2100300025</v>
      </c>
      <c r="D7597">
        <v>6426000</v>
      </c>
      <c r="E7597" t="s">
        <v>188</v>
      </c>
      <c r="F7597">
        <v>5104010107</v>
      </c>
      <c r="G7597" s="13">
        <v>37500</v>
      </c>
      <c r="I7597" t="s">
        <v>150</v>
      </c>
      <c r="J7597" t="s">
        <v>965</v>
      </c>
      <c r="K7597" t="s">
        <v>154</v>
      </c>
      <c r="L7597">
        <v>8000997106</v>
      </c>
      <c r="N7597" t="s">
        <v>1031</v>
      </c>
    </row>
    <row r="7598" spans="3:14">
      <c r="C7598">
        <v>2100300025</v>
      </c>
      <c r="D7598">
        <v>6426000</v>
      </c>
      <c r="E7598" t="s">
        <v>188</v>
      </c>
      <c r="F7598">
        <v>5104010107</v>
      </c>
      <c r="G7598" s="13">
        <v>160000</v>
      </c>
      <c r="I7598" t="s">
        <v>150</v>
      </c>
      <c r="J7598" t="s">
        <v>965</v>
      </c>
      <c r="K7598" t="s">
        <v>154</v>
      </c>
      <c r="L7598">
        <v>8000996726</v>
      </c>
      <c r="N7598" t="s">
        <v>1031</v>
      </c>
    </row>
    <row r="7599" spans="3:14">
      <c r="C7599">
        <v>2100300025</v>
      </c>
      <c r="D7599">
        <v>6426000</v>
      </c>
      <c r="E7599" t="s">
        <v>188</v>
      </c>
      <c r="F7599">
        <v>5104010107</v>
      </c>
      <c r="G7599" s="13">
        <v>23197.599999999999</v>
      </c>
      <c r="I7599" t="s">
        <v>150</v>
      </c>
      <c r="J7599" t="s">
        <v>856</v>
      </c>
      <c r="K7599" t="s">
        <v>154</v>
      </c>
      <c r="L7599">
        <v>8001059078</v>
      </c>
      <c r="N7599" t="s">
        <v>1439</v>
      </c>
    </row>
    <row r="7600" spans="3:14">
      <c r="C7600">
        <v>2100300025</v>
      </c>
      <c r="D7600">
        <v>6426000</v>
      </c>
      <c r="E7600" t="s">
        <v>188</v>
      </c>
      <c r="F7600">
        <v>5104010107</v>
      </c>
      <c r="G7600" s="13">
        <v>5600</v>
      </c>
      <c r="I7600" t="s">
        <v>150</v>
      </c>
      <c r="J7600" t="s">
        <v>856</v>
      </c>
      <c r="K7600" t="s">
        <v>154</v>
      </c>
      <c r="L7600">
        <v>8001124129</v>
      </c>
      <c r="N7600" t="s">
        <v>1439</v>
      </c>
    </row>
    <row r="7601" spans="3:14">
      <c r="C7601">
        <v>2100300025</v>
      </c>
      <c r="D7601">
        <v>6426000</v>
      </c>
      <c r="E7601" t="s">
        <v>188</v>
      </c>
      <c r="F7601">
        <v>5104010107</v>
      </c>
      <c r="G7601" s="13">
        <v>43335</v>
      </c>
      <c r="I7601" t="s">
        <v>150</v>
      </c>
      <c r="J7601" t="s">
        <v>973</v>
      </c>
      <c r="K7601" t="s">
        <v>154</v>
      </c>
      <c r="L7601">
        <v>8001259206</v>
      </c>
      <c r="N7601" t="s">
        <v>1031</v>
      </c>
    </row>
    <row r="7602" spans="3:14">
      <c r="C7602">
        <v>2100300025</v>
      </c>
      <c r="D7602">
        <v>6426000</v>
      </c>
      <c r="E7602" t="s">
        <v>188</v>
      </c>
      <c r="F7602">
        <v>5104010107</v>
      </c>
      <c r="G7602" s="13">
        <v>23326</v>
      </c>
      <c r="I7602" t="s">
        <v>150</v>
      </c>
      <c r="J7602" t="s">
        <v>971</v>
      </c>
      <c r="K7602" t="s">
        <v>154</v>
      </c>
      <c r="L7602">
        <v>8001158301</v>
      </c>
      <c r="N7602" t="s">
        <v>1439</v>
      </c>
    </row>
    <row r="7603" spans="3:14">
      <c r="C7603">
        <v>2100300025</v>
      </c>
      <c r="D7603">
        <v>6426000</v>
      </c>
      <c r="E7603" t="s">
        <v>188</v>
      </c>
      <c r="F7603">
        <v>5104010107</v>
      </c>
      <c r="G7603" s="13">
        <v>6955</v>
      </c>
      <c r="I7603" t="s">
        <v>150</v>
      </c>
      <c r="J7603" t="s">
        <v>982</v>
      </c>
      <c r="K7603" t="s">
        <v>154</v>
      </c>
      <c r="L7603">
        <v>8001440145</v>
      </c>
      <c r="N7603" t="s">
        <v>1439</v>
      </c>
    </row>
    <row r="7604" spans="3:14">
      <c r="C7604">
        <v>2100300025</v>
      </c>
      <c r="D7604">
        <v>6426000</v>
      </c>
      <c r="E7604" t="s">
        <v>188</v>
      </c>
      <c r="F7604">
        <v>5104010107</v>
      </c>
      <c r="G7604" s="13">
        <v>28000</v>
      </c>
      <c r="I7604" t="s">
        <v>150</v>
      </c>
      <c r="J7604" t="s">
        <v>583</v>
      </c>
      <c r="K7604" t="s">
        <v>154</v>
      </c>
      <c r="L7604">
        <v>8000749112</v>
      </c>
      <c r="N7604" t="s">
        <v>1031</v>
      </c>
    </row>
    <row r="7605" spans="3:14">
      <c r="C7605">
        <v>2100300025</v>
      </c>
      <c r="D7605">
        <v>6426000</v>
      </c>
      <c r="E7605" t="s">
        <v>188</v>
      </c>
      <c r="F7605">
        <v>5104010107</v>
      </c>
      <c r="G7605" s="13">
        <v>-6000</v>
      </c>
      <c r="I7605" t="s">
        <v>150</v>
      </c>
      <c r="J7605" t="s">
        <v>585</v>
      </c>
      <c r="K7605" t="s">
        <v>154</v>
      </c>
      <c r="L7605">
        <v>8000919957</v>
      </c>
      <c r="N7605" t="s">
        <v>1031</v>
      </c>
    </row>
    <row r="7606" spans="3:14">
      <c r="C7606">
        <v>2100300025</v>
      </c>
      <c r="D7606">
        <v>6426000</v>
      </c>
      <c r="E7606" t="s">
        <v>188</v>
      </c>
      <c r="F7606">
        <v>5104010107</v>
      </c>
      <c r="G7606" s="13">
        <v>25038</v>
      </c>
      <c r="I7606" t="s">
        <v>150</v>
      </c>
      <c r="J7606" t="s">
        <v>948</v>
      </c>
      <c r="K7606" t="s">
        <v>154</v>
      </c>
      <c r="L7606">
        <v>8000739544</v>
      </c>
      <c r="N7606" t="s">
        <v>1039</v>
      </c>
    </row>
    <row r="7607" spans="3:14">
      <c r="C7607">
        <v>2100300025</v>
      </c>
      <c r="D7607">
        <v>6426000</v>
      </c>
      <c r="E7607" t="s">
        <v>188</v>
      </c>
      <c r="F7607">
        <v>5104010107</v>
      </c>
      <c r="G7607" s="13">
        <v>6000</v>
      </c>
      <c r="I7607" t="s">
        <v>150</v>
      </c>
      <c r="J7607" t="s">
        <v>930</v>
      </c>
      <c r="K7607" t="s">
        <v>154</v>
      </c>
      <c r="L7607">
        <v>8000530049</v>
      </c>
      <c r="N7607" t="s">
        <v>1031</v>
      </c>
    </row>
    <row r="7608" spans="3:14">
      <c r="C7608">
        <v>2100300025</v>
      </c>
      <c r="D7608">
        <v>6426000</v>
      </c>
      <c r="E7608" t="s">
        <v>188</v>
      </c>
      <c r="F7608">
        <v>5104010107</v>
      </c>
      <c r="G7608" s="13">
        <v>65000</v>
      </c>
      <c r="I7608" t="s">
        <v>150</v>
      </c>
      <c r="J7608" t="s">
        <v>933</v>
      </c>
      <c r="K7608" t="s">
        <v>154</v>
      </c>
      <c r="L7608">
        <v>8000531917</v>
      </c>
      <c r="N7608" t="s">
        <v>1039</v>
      </c>
    </row>
    <row r="7609" spans="3:14">
      <c r="C7609">
        <v>2100300025</v>
      </c>
      <c r="D7609">
        <v>6426000</v>
      </c>
      <c r="E7609" t="s">
        <v>188</v>
      </c>
      <c r="F7609">
        <v>5104010107</v>
      </c>
      <c r="G7609" s="13">
        <v>-133250</v>
      </c>
      <c r="I7609" t="s">
        <v>150</v>
      </c>
      <c r="J7609" t="s">
        <v>940</v>
      </c>
      <c r="K7609" t="s">
        <v>154</v>
      </c>
      <c r="L7609">
        <v>8000646506</v>
      </c>
      <c r="N7609" t="s">
        <v>1031</v>
      </c>
    </row>
    <row r="7610" spans="3:14">
      <c r="C7610">
        <v>2100300025</v>
      </c>
      <c r="D7610">
        <v>6426000</v>
      </c>
      <c r="E7610" t="s">
        <v>188</v>
      </c>
      <c r="F7610">
        <v>5104010107</v>
      </c>
      <c r="G7610" s="13">
        <v>-12397</v>
      </c>
      <c r="I7610" t="s">
        <v>150</v>
      </c>
      <c r="J7610" t="s">
        <v>583</v>
      </c>
      <c r="K7610" t="s">
        <v>154</v>
      </c>
      <c r="L7610">
        <v>8000765598</v>
      </c>
      <c r="N7610" t="s">
        <v>1031</v>
      </c>
    </row>
    <row r="7611" spans="3:14">
      <c r="C7611">
        <v>2100300025</v>
      </c>
      <c r="D7611">
        <v>6426000</v>
      </c>
      <c r="E7611" t="s">
        <v>188</v>
      </c>
      <c r="F7611">
        <v>5104010107</v>
      </c>
      <c r="G7611" s="13">
        <v>42650</v>
      </c>
      <c r="I7611" t="s">
        <v>150</v>
      </c>
      <c r="J7611" t="s">
        <v>939</v>
      </c>
      <c r="K7611" t="s">
        <v>154</v>
      </c>
      <c r="L7611">
        <v>8000618463</v>
      </c>
      <c r="N7611" t="s">
        <v>1436</v>
      </c>
    </row>
    <row r="7612" spans="3:14">
      <c r="C7612">
        <v>2100300025</v>
      </c>
      <c r="D7612">
        <v>6426000</v>
      </c>
      <c r="E7612" t="s">
        <v>188</v>
      </c>
      <c r="F7612">
        <v>5104010107</v>
      </c>
      <c r="G7612" s="13">
        <v>12500</v>
      </c>
      <c r="I7612" t="s">
        <v>150</v>
      </c>
      <c r="J7612" t="s">
        <v>841</v>
      </c>
      <c r="K7612" t="s">
        <v>154</v>
      </c>
      <c r="L7612">
        <v>8000719857</v>
      </c>
      <c r="N7612" t="s">
        <v>1439</v>
      </c>
    </row>
    <row r="7613" spans="3:14">
      <c r="C7613">
        <v>2100300025</v>
      </c>
      <c r="D7613">
        <v>6426000</v>
      </c>
      <c r="E7613" t="s">
        <v>188</v>
      </c>
      <c r="F7613">
        <v>5104010107</v>
      </c>
      <c r="G7613" s="13">
        <v>68000</v>
      </c>
      <c r="I7613" t="s">
        <v>150</v>
      </c>
      <c r="J7613" t="s">
        <v>845</v>
      </c>
      <c r="K7613" t="s">
        <v>154</v>
      </c>
      <c r="L7613">
        <v>8000723039</v>
      </c>
      <c r="N7613" t="s">
        <v>1039</v>
      </c>
    </row>
    <row r="7614" spans="3:14">
      <c r="C7614">
        <v>2100300025</v>
      </c>
      <c r="D7614">
        <v>6426000</v>
      </c>
      <c r="E7614" t="s">
        <v>188</v>
      </c>
      <c r="F7614">
        <v>5104010107</v>
      </c>
      <c r="G7614" s="13">
        <v>12397</v>
      </c>
      <c r="I7614" t="s">
        <v>150</v>
      </c>
      <c r="J7614" t="s">
        <v>583</v>
      </c>
      <c r="K7614" t="s">
        <v>154</v>
      </c>
      <c r="L7614">
        <v>8000784334</v>
      </c>
      <c r="N7614" t="s">
        <v>1031</v>
      </c>
    </row>
    <row r="7615" spans="3:14">
      <c r="C7615">
        <v>2100300025</v>
      </c>
      <c r="D7615">
        <v>6426000</v>
      </c>
      <c r="E7615" t="s">
        <v>188</v>
      </c>
      <c r="F7615">
        <v>5104010107</v>
      </c>
      <c r="G7615" s="13">
        <v>322500</v>
      </c>
      <c r="I7615" t="s">
        <v>150</v>
      </c>
      <c r="J7615" t="s">
        <v>944</v>
      </c>
      <c r="K7615" t="s">
        <v>154</v>
      </c>
      <c r="L7615">
        <v>8000681148</v>
      </c>
      <c r="N7615" t="s">
        <v>1031</v>
      </c>
    </row>
    <row r="7616" spans="3:14">
      <c r="C7616">
        <v>2100300025</v>
      </c>
      <c r="D7616">
        <v>6426000</v>
      </c>
      <c r="E7616" t="s">
        <v>188</v>
      </c>
      <c r="F7616">
        <v>5104010107</v>
      </c>
      <c r="G7616" s="13">
        <v>60000</v>
      </c>
      <c r="I7616" t="s">
        <v>150</v>
      </c>
      <c r="J7616" t="s">
        <v>943</v>
      </c>
      <c r="K7616" t="s">
        <v>154</v>
      </c>
      <c r="L7616">
        <v>8000603684</v>
      </c>
      <c r="N7616" t="s">
        <v>1031</v>
      </c>
    </row>
    <row r="7617" spans="3:14">
      <c r="C7617">
        <v>2100300025</v>
      </c>
      <c r="D7617">
        <v>6426000</v>
      </c>
      <c r="E7617" t="s">
        <v>188</v>
      </c>
      <c r="F7617">
        <v>5104010107</v>
      </c>
      <c r="G7617" s="13">
        <v>160000</v>
      </c>
      <c r="I7617" t="s">
        <v>150</v>
      </c>
      <c r="J7617" t="s">
        <v>943</v>
      </c>
      <c r="K7617" t="s">
        <v>154</v>
      </c>
      <c r="L7617">
        <v>8000602197</v>
      </c>
      <c r="N7617" t="s">
        <v>1031</v>
      </c>
    </row>
    <row r="7618" spans="3:14">
      <c r="C7618">
        <v>2100300025</v>
      </c>
      <c r="D7618">
        <v>6426000</v>
      </c>
      <c r="E7618" t="s">
        <v>188</v>
      </c>
      <c r="F7618">
        <v>5104010107</v>
      </c>
      <c r="G7618" s="13">
        <v>8977</v>
      </c>
      <c r="I7618" t="s">
        <v>150</v>
      </c>
      <c r="J7618" t="s">
        <v>583</v>
      </c>
      <c r="K7618" t="s">
        <v>154</v>
      </c>
      <c r="L7618">
        <v>8000748785</v>
      </c>
      <c r="N7618" t="s">
        <v>1031</v>
      </c>
    </row>
    <row r="7619" spans="3:14">
      <c r="C7619">
        <v>2100300025</v>
      </c>
      <c r="D7619">
        <v>6426000</v>
      </c>
      <c r="E7619" t="s">
        <v>188</v>
      </c>
      <c r="F7619">
        <v>5104010107</v>
      </c>
      <c r="G7619" s="13">
        <v>12397</v>
      </c>
      <c r="I7619" t="s">
        <v>150</v>
      </c>
      <c r="J7619" t="s">
        <v>583</v>
      </c>
      <c r="K7619" t="s">
        <v>154</v>
      </c>
      <c r="L7619">
        <v>8000748790</v>
      </c>
      <c r="N7619" t="s">
        <v>1031</v>
      </c>
    </row>
    <row r="7620" spans="3:14">
      <c r="C7620">
        <v>2100300025</v>
      </c>
      <c r="D7620">
        <v>6426000</v>
      </c>
      <c r="E7620" t="s">
        <v>188</v>
      </c>
      <c r="F7620">
        <v>5104010107</v>
      </c>
      <c r="G7620" s="13">
        <v>805000</v>
      </c>
      <c r="I7620" t="s">
        <v>150</v>
      </c>
      <c r="J7620" t="s">
        <v>583</v>
      </c>
      <c r="K7620" t="s">
        <v>154</v>
      </c>
      <c r="L7620">
        <v>8000748794</v>
      </c>
      <c r="N7620" t="s">
        <v>1031</v>
      </c>
    </row>
    <row r="7621" spans="3:14">
      <c r="C7621">
        <v>2100300025</v>
      </c>
      <c r="D7621">
        <v>6426000</v>
      </c>
      <c r="E7621" t="s">
        <v>188</v>
      </c>
      <c r="F7621">
        <v>5104010107</v>
      </c>
      <c r="G7621" s="13">
        <v>5500</v>
      </c>
      <c r="I7621" t="s">
        <v>150</v>
      </c>
      <c r="J7621" t="s">
        <v>943</v>
      </c>
      <c r="K7621" t="s">
        <v>154</v>
      </c>
      <c r="L7621">
        <v>8000741179</v>
      </c>
      <c r="N7621" t="s">
        <v>1039</v>
      </c>
    </row>
    <row r="7622" spans="3:14">
      <c r="C7622">
        <v>2100300025</v>
      </c>
      <c r="D7622">
        <v>6426000</v>
      </c>
      <c r="E7622" t="s">
        <v>188</v>
      </c>
      <c r="F7622">
        <v>5104010107</v>
      </c>
      <c r="G7622" s="13">
        <v>12283.6</v>
      </c>
      <c r="I7622" t="s">
        <v>150</v>
      </c>
      <c r="J7622" t="s">
        <v>841</v>
      </c>
      <c r="K7622" t="s">
        <v>154</v>
      </c>
      <c r="L7622">
        <v>8000741044</v>
      </c>
      <c r="N7622" t="s">
        <v>1039</v>
      </c>
    </row>
    <row r="7623" spans="3:14">
      <c r="C7623">
        <v>2100300025</v>
      </c>
      <c r="D7623">
        <v>6426000</v>
      </c>
      <c r="E7623" t="s">
        <v>188</v>
      </c>
      <c r="F7623">
        <v>5104010107</v>
      </c>
      <c r="G7623" s="13">
        <v>12305</v>
      </c>
      <c r="I7623" t="s">
        <v>150</v>
      </c>
      <c r="J7623" t="s">
        <v>583</v>
      </c>
      <c r="K7623" t="s">
        <v>154</v>
      </c>
      <c r="L7623">
        <v>8000738165</v>
      </c>
      <c r="N7623" t="s">
        <v>1439</v>
      </c>
    </row>
    <row r="7624" spans="3:14">
      <c r="C7624">
        <v>2100300025</v>
      </c>
      <c r="D7624">
        <v>6426000</v>
      </c>
      <c r="E7624" t="s">
        <v>188</v>
      </c>
      <c r="F7624">
        <v>5104010107</v>
      </c>
      <c r="G7624" s="13">
        <v>-1353600</v>
      </c>
      <c r="I7624" t="s">
        <v>150</v>
      </c>
      <c r="J7624" t="s">
        <v>952</v>
      </c>
      <c r="K7624" t="s">
        <v>154</v>
      </c>
      <c r="L7624">
        <v>8000818228</v>
      </c>
      <c r="N7624" t="s">
        <v>1031</v>
      </c>
    </row>
    <row r="7625" spans="3:14">
      <c r="C7625">
        <v>2100300025</v>
      </c>
      <c r="D7625">
        <v>6426000</v>
      </c>
      <c r="E7625" t="s">
        <v>188</v>
      </c>
      <c r="F7625">
        <v>5104010107</v>
      </c>
      <c r="G7625" s="13">
        <v>75000</v>
      </c>
      <c r="I7625" t="s">
        <v>150</v>
      </c>
      <c r="J7625" t="s">
        <v>1277</v>
      </c>
      <c r="K7625" t="s">
        <v>154</v>
      </c>
      <c r="L7625">
        <v>8000820925</v>
      </c>
      <c r="N7625" t="s">
        <v>1031</v>
      </c>
    </row>
    <row r="7626" spans="3:14">
      <c r="C7626">
        <v>2100300025</v>
      </c>
      <c r="D7626">
        <v>6426000</v>
      </c>
      <c r="E7626" t="s">
        <v>188</v>
      </c>
      <c r="F7626">
        <v>5104010107</v>
      </c>
      <c r="G7626" s="13">
        <v>42650</v>
      </c>
      <c r="I7626" t="s">
        <v>150</v>
      </c>
      <c r="J7626" t="s">
        <v>585</v>
      </c>
      <c r="K7626" t="s">
        <v>154</v>
      </c>
      <c r="L7626">
        <v>8000920954</v>
      </c>
      <c r="N7626" t="s">
        <v>1436</v>
      </c>
    </row>
    <row r="7627" spans="3:14">
      <c r="C7627">
        <v>2100300025</v>
      </c>
      <c r="D7627">
        <v>6426000</v>
      </c>
      <c r="E7627" t="s">
        <v>188</v>
      </c>
      <c r="F7627">
        <v>5104010107</v>
      </c>
      <c r="G7627" s="13">
        <v>1353600</v>
      </c>
      <c r="I7627" t="s">
        <v>150</v>
      </c>
      <c r="J7627" t="s">
        <v>1277</v>
      </c>
      <c r="K7627" t="s">
        <v>154</v>
      </c>
      <c r="L7627">
        <v>8000818236</v>
      </c>
      <c r="N7627" t="s">
        <v>1031</v>
      </c>
    </row>
    <row r="7628" spans="3:14">
      <c r="C7628">
        <v>2100300025</v>
      </c>
      <c r="D7628">
        <v>6426000</v>
      </c>
      <c r="E7628" t="s">
        <v>188</v>
      </c>
      <c r="F7628">
        <v>5104010107</v>
      </c>
      <c r="G7628" s="13">
        <v>80250</v>
      </c>
      <c r="I7628" t="s">
        <v>150</v>
      </c>
      <c r="J7628" t="s">
        <v>585</v>
      </c>
      <c r="K7628" t="s">
        <v>154</v>
      </c>
      <c r="L7628">
        <v>8000920047</v>
      </c>
      <c r="N7628" t="s">
        <v>1031</v>
      </c>
    </row>
    <row r="7629" spans="3:14">
      <c r="C7629">
        <v>2100300025</v>
      </c>
      <c r="D7629">
        <v>6426000</v>
      </c>
      <c r="E7629" t="s">
        <v>188</v>
      </c>
      <c r="F7629">
        <v>5104010107</v>
      </c>
      <c r="G7629" s="13">
        <v>633333</v>
      </c>
      <c r="I7629" t="s">
        <v>150</v>
      </c>
      <c r="J7629" t="s">
        <v>952</v>
      </c>
      <c r="K7629" t="s">
        <v>154</v>
      </c>
      <c r="L7629">
        <v>8000802977</v>
      </c>
      <c r="N7629" t="s">
        <v>1031</v>
      </c>
    </row>
    <row r="7630" spans="3:14">
      <c r="C7630">
        <v>2100300025</v>
      </c>
      <c r="D7630">
        <v>6426000</v>
      </c>
      <c r="E7630" t="s">
        <v>188</v>
      </c>
      <c r="F7630">
        <v>5104010107</v>
      </c>
      <c r="G7630" s="13">
        <v>2266666</v>
      </c>
      <c r="I7630" t="s">
        <v>150</v>
      </c>
      <c r="J7630" t="s">
        <v>952</v>
      </c>
      <c r="K7630" t="s">
        <v>154</v>
      </c>
      <c r="L7630">
        <v>8000804894</v>
      </c>
      <c r="N7630" t="s">
        <v>1031</v>
      </c>
    </row>
    <row r="7631" spans="3:14">
      <c r="C7631">
        <v>2100300025</v>
      </c>
      <c r="D7631">
        <v>6426000</v>
      </c>
      <c r="E7631" t="s">
        <v>188</v>
      </c>
      <c r="F7631">
        <v>5104010107</v>
      </c>
      <c r="G7631" s="13">
        <v>6000</v>
      </c>
      <c r="I7631" t="s">
        <v>150</v>
      </c>
      <c r="J7631" t="s">
        <v>585</v>
      </c>
      <c r="K7631" t="s">
        <v>154</v>
      </c>
      <c r="L7631">
        <v>8000902198</v>
      </c>
      <c r="N7631" t="s">
        <v>1031</v>
      </c>
    </row>
    <row r="7632" spans="3:14">
      <c r="C7632">
        <v>2100300025</v>
      </c>
      <c r="D7632">
        <v>6426000</v>
      </c>
      <c r="E7632" t="s">
        <v>188</v>
      </c>
      <c r="F7632">
        <v>5104010107</v>
      </c>
      <c r="G7632" s="13">
        <v>46366</v>
      </c>
      <c r="I7632" t="s">
        <v>150</v>
      </c>
      <c r="J7632" t="s">
        <v>956</v>
      </c>
      <c r="K7632" t="s">
        <v>154</v>
      </c>
      <c r="L7632">
        <v>8000850495</v>
      </c>
      <c r="N7632" t="s">
        <v>1439</v>
      </c>
    </row>
    <row r="7633" spans="3:14">
      <c r="C7633">
        <v>2100300025</v>
      </c>
      <c r="D7633">
        <v>6426000</v>
      </c>
      <c r="E7633" t="s">
        <v>188</v>
      </c>
      <c r="F7633">
        <v>5104010107</v>
      </c>
      <c r="G7633" s="13">
        <v>56000</v>
      </c>
      <c r="I7633" t="s">
        <v>150</v>
      </c>
      <c r="J7633" t="s">
        <v>956</v>
      </c>
      <c r="K7633" t="s">
        <v>154</v>
      </c>
      <c r="L7633">
        <v>8000850374</v>
      </c>
      <c r="N7633" t="s">
        <v>1031</v>
      </c>
    </row>
    <row r="7634" spans="3:14">
      <c r="C7634">
        <v>2100300025</v>
      </c>
      <c r="D7634">
        <v>6426000</v>
      </c>
      <c r="E7634" t="s">
        <v>188</v>
      </c>
      <c r="F7634">
        <v>5104010107</v>
      </c>
      <c r="G7634" s="13">
        <v>12000</v>
      </c>
      <c r="I7634" t="s">
        <v>150</v>
      </c>
      <c r="J7634" t="s">
        <v>956</v>
      </c>
      <c r="K7634" t="s">
        <v>154</v>
      </c>
      <c r="L7634">
        <v>8000850377</v>
      </c>
      <c r="N7634" t="s">
        <v>1039</v>
      </c>
    </row>
    <row r="7635" spans="3:14">
      <c r="C7635">
        <v>2100300025</v>
      </c>
      <c r="D7635">
        <v>6426000</v>
      </c>
      <c r="E7635" t="s">
        <v>188</v>
      </c>
      <c r="F7635">
        <v>5104010107</v>
      </c>
      <c r="G7635" s="13">
        <v>35000</v>
      </c>
      <c r="I7635" t="s">
        <v>150</v>
      </c>
      <c r="J7635" t="s">
        <v>955</v>
      </c>
      <c r="K7635" t="s">
        <v>154</v>
      </c>
      <c r="L7635">
        <v>8000852455</v>
      </c>
      <c r="N7635" t="s">
        <v>1031</v>
      </c>
    </row>
    <row r="7636" spans="3:14">
      <c r="C7636">
        <v>2100300025</v>
      </c>
      <c r="D7636">
        <v>6426000</v>
      </c>
      <c r="E7636" t="s">
        <v>188</v>
      </c>
      <c r="F7636">
        <v>5104010107</v>
      </c>
      <c r="G7636" s="13">
        <v>31500</v>
      </c>
      <c r="I7636" t="s">
        <v>150</v>
      </c>
      <c r="J7636" t="s">
        <v>955</v>
      </c>
      <c r="K7636" t="s">
        <v>154</v>
      </c>
      <c r="L7636">
        <v>8000848282</v>
      </c>
      <c r="N7636" t="s">
        <v>1439</v>
      </c>
    </row>
    <row r="7637" spans="3:14">
      <c r="C7637">
        <v>2100300025</v>
      </c>
      <c r="D7637">
        <v>6426000</v>
      </c>
      <c r="E7637" t="s">
        <v>188</v>
      </c>
      <c r="F7637">
        <v>5104010107</v>
      </c>
      <c r="G7637" s="13">
        <v>16200</v>
      </c>
      <c r="I7637" t="s">
        <v>150</v>
      </c>
      <c r="J7637" t="s">
        <v>585</v>
      </c>
      <c r="K7637" t="s">
        <v>154</v>
      </c>
      <c r="L7637">
        <v>8000897842</v>
      </c>
      <c r="N7637" t="s">
        <v>1439</v>
      </c>
    </row>
    <row r="7638" spans="3:14">
      <c r="C7638">
        <v>2100300025</v>
      </c>
      <c r="D7638">
        <v>6426000</v>
      </c>
      <c r="E7638" t="s">
        <v>188</v>
      </c>
      <c r="F7638">
        <v>5104010107</v>
      </c>
      <c r="G7638" s="13">
        <v>322500</v>
      </c>
      <c r="I7638" t="s">
        <v>150</v>
      </c>
      <c r="J7638" t="s">
        <v>585</v>
      </c>
      <c r="K7638" t="s">
        <v>154</v>
      </c>
      <c r="L7638">
        <v>8000955975</v>
      </c>
      <c r="N7638" t="s">
        <v>1031</v>
      </c>
    </row>
    <row r="7639" spans="3:14">
      <c r="C7639">
        <v>2100300025</v>
      </c>
      <c r="D7639">
        <v>6426000</v>
      </c>
      <c r="E7639" t="s">
        <v>188</v>
      </c>
      <c r="F7639">
        <v>5104010107</v>
      </c>
      <c r="G7639" s="13">
        <v>46366</v>
      </c>
      <c r="I7639" t="s">
        <v>150</v>
      </c>
      <c r="J7639" t="s">
        <v>957</v>
      </c>
      <c r="K7639" t="s">
        <v>154</v>
      </c>
      <c r="L7639">
        <v>8000838995</v>
      </c>
      <c r="N7639" t="s">
        <v>1439</v>
      </c>
    </row>
    <row r="7640" spans="3:14">
      <c r="C7640">
        <v>2100300025</v>
      </c>
      <c r="D7640">
        <v>6426000</v>
      </c>
      <c r="E7640" t="s">
        <v>188</v>
      </c>
      <c r="F7640">
        <v>5104010107</v>
      </c>
      <c r="G7640" s="13">
        <v>6000</v>
      </c>
      <c r="I7640" t="s">
        <v>150</v>
      </c>
      <c r="J7640" t="s">
        <v>585</v>
      </c>
      <c r="K7640" t="s">
        <v>154</v>
      </c>
      <c r="L7640">
        <v>8000930174</v>
      </c>
      <c r="N7640" t="s">
        <v>1031</v>
      </c>
    </row>
    <row r="7641" spans="3:14">
      <c r="C7641">
        <v>2100300025</v>
      </c>
      <c r="D7641">
        <v>6426000</v>
      </c>
      <c r="E7641" t="s">
        <v>188</v>
      </c>
      <c r="F7641">
        <v>5104010107</v>
      </c>
      <c r="G7641" s="13">
        <v>-4675</v>
      </c>
      <c r="I7641" t="s">
        <v>150</v>
      </c>
      <c r="J7641" t="s">
        <v>587</v>
      </c>
      <c r="K7641" t="s">
        <v>154</v>
      </c>
      <c r="L7641">
        <v>8001121559</v>
      </c>
      <c r="N7641" t="s">
        <v>1039</v>
      </c>
    </row>
    <row r="7642" spans="3:14">
      <c r="C7642">
        <v>2100300025</v>
      </c>
      <c r="D7642">
        <v>6426000</v>
      </c>
      <c r="E7642" t="s">
        <v>188</v>
      </c>
      <c r="F7642">
        <v>5104010107</v>
      </c>
      <c r="G7642" s="13">
        <v>4675</v>
      </c>
      <c r="I7642" t="s">
        <v>150</v>
      </c>
      <c r="J7642" t="s">
        <v>856</v>
      </c>
      <c r="K7642" t="s">
        <v>154</v>
      </c>
      <c r="L7642">
        <v>8001121561</v>
      </c>
      <c r="N7642" t="s">
        <v>1039</v>
      </c>
    </row>
    <row r="7643" spans="3:14">
      <c r="C7643">
        <v>2100300025</v>
      </c>
      <c r="D7643">
        <v>6426000</v>
      </c>
      <c r="E7643" t="s">
        <v>188</v>
      </c>
      <c r="F7643">
        <v>5104010107</v>
      </c>
      <c r="G7643" s="13">
        <v>24285.79</v>
      </c>
      <c r="I7643" t="s">
        <v>150</v>
      </c>
      <c r="J7643" t="s">
        <v>964</v>
      </c>
      <c r="K7643" t="s">
        <v>154</v>
      </c>
      <c r="L7643">
        <v>8001036181</v>
      </c>
      <c r="N7643" t="s">
        <v>1439</v>
      </c>
    </row>
    <row r="7644" spans="3:14">
      <c r="C7644">
        <v>2100300025</v>
      </c>
      <c r="D7644">
        <v>6426000</v>
      </c>
      <c r="E7644" t="s">
        <v>188</v>
      </c>
      <c r="F7644">
        <v>5104010107</v>
      </c>
      <c r="G7644" s="13">
        <v>60000</v>
      </c>
      <c r="I7644" t="s">
        <v>150</v>
      </c>
      <c r="J7644" t="s">
        <v>965</v>
      </c>
      <c r="K7644" t="s">
        <v>154</v>
      </c>
      <c r="L7644">
        <v>8000996973</v>
      </c>
      <c r="N7644" t="s">
        <v>1031</v>
      </c>
    </row>
    <row r="7645" spans="3:14">
      <c r="C7645">
        <v>2100300025</v>
      </c>
      <c r="D7645">
        <v>6426000</v>
      </c>
      <c r="E7645" t="s">
        <v>188</v>
      </c>
      <c r="F7645">
        <v>5104010107</v>
      </c>
      <c r="G7645" s="13">
        <v>4675</v>
      </c>
      <c r="I7645" t="s">
        <v>150</v>
      </c>
      <c r="J7645" t="s">
        <v>587</v>
      </c>
      <c r="K7645" t="s">
        <v>154</v>
      </c>
      <c r="L7645">
        <v>8001120595</v>
      </c>
      <c r="N7645" t="s">
        <v>1039</v>
      </c>
    </row>
    <row r="7646" spans="3:14">
      <c r="C7646">
        <v>2100300025</v>
      </c>
      <c r="D7646">
        <v>6426000</v>
      </c>
      <c r="E7646" t="s">
        <v>188</v>
      </c>
      <c r="F7646">
        <v>5104010107</v>
      </c>
      <c r="G7646" s="13">
        <v>35000</v>
      </c>
      <c r="I7646" t="s">
        <v>150</v>
      </c>
      <c r="J7646" t="s">
        <v>968</v>
      </c>
      <c r="K7646" t="s">
        <v>154</v>
      </c>
      <c r="L7646">
        <v>8000990806</v>
      </c>
      <c r="N7646" t="s">
        <v>1031</v>
      </c>
    </row>
    <row r="7647" spans="3:14">
      <c r="C7647">
        <v>2100300025</v>
      </c>
      <c r="D7647">
        <v>6426000</v>
      </c>
      <c r="E7647" t="s">
        <v>188</v>
      </c>
      <c r="F7647">
        <v>5104010107</v>
      </c>
      <c r="G7647" s="13">
        <v>-4675</v>
      </c>
      <c r="I7647" t="s">
        <v>150</v>
      </c>
      <c r="J7647" t="s">
        <v>971</v>
      </c>
      <c r="K7647" t="s">
        <v>154</v>
      </c>
      <c r="L7647">
        <v>8001148328</v>
      </c>
      <c r="N7647" t="s">
        <v>1039</v>
      </c>
    </row>
    <row r="7648" spans="3:14">
      <c r="C7648">
        <v>2100300025</v>
      </c>
      <c r="D7648">
        <v>6426000</v>
      </c>
      <c r="E7648" t="s">
        <v>188</v>
      </c>
      <c r="F7648">
        <v>5104010107</v>
      </c>
      <c r="G7648" s="13">
        <v>402160</v>
      </c>
      <c r="I7648" t="s">
        <v>150</v>
      </c>
      <c r="J7648" t="s">
        <v>1355</v>
      </c>
      <c r="K7648" t="s">
        <v>154</v>
      </c>
      <c r="L7648">
        <v>8001261058</v>
      </c>
      <c r="N7648" t="s">
        <v>1031</v>
      </c>
    </row>
    <row r="7649" spans="3:14">
      <c r="C7649">
        <v>2100300025</v>
      </c>
      <c r="D7649">
        <v>6426000</v>
      </c>
      <c r="E7649" t="s">
        <v>188</v>
      </c>
      <c r="F7649">
        <v>5104010107</v>
      </c>
      <c r="G7649" s="13">
        <v>16050</v>
      </c>
      <c r="I7649" t="s">
        <v>150</v>
      </c>
      <c r="J7649" t="s">
        <v>858</v>
      </c>
      <c r="K7649" t="s">
        <v>154</v>
      </c>
      <c r="L7649">
        <v>8001371653</v>
      </c>
      <c r="N7649" t="s">
        <v>1439</v>
      </c>
    </row>
    <row r="7650" spans="3:14">
      <c r="C7650">
        <v>2100300025</v>
      </c>
      <c r="D7650">
        <v>6426000</v>
      </c>
      <c r="E7650" t="s">
        <v>188</v>
      </c>
      <c r="F7650">
        <v>5104010107</v>
      </c>
      <c r="G7650" s="13">
        <v>379099.93</v>
      </c>
      <c r="I7650" t="s">
        <v>150</v>
      </c>
      <c r="J7650" t="s">
        <v>861</v>
      </c>
      <c r="K7650" t="s">
        <v>154</v>
      </c>
      <c r="L7650">
        <v>8001140866</v>
      </c>
      <c r="N7650" t="s">
        <v>1031</v>
      </c>
    </row>
    <row r="7651" spans="3:14">
      <c r="C7651">
        <v>2100300025</v>
      </c>
      <c r="D7651">
        <v>6426000</v>
      </c>
      <c r="E7651" t="s">
        <v>188</v>
      </c>
      <c r="F7651">
        <v>5104010107</v>
      </c>
      <c r="G7651" s="13">
        <v>42800</v>
      </c>
      <c r="I7651" t="s">
        <v>150</v>
      </c>
      <c r="J7651" t="s">
        <v>977</v>
      </c>
      <c r="K7651" t="s">
        <v>154</v>
      </c>
      <c r="L7651">
        <v>8001221165</v>
      </c>
      <c r="N7651" t="s">
        <v>1039</v>
      </c>
    </row>
    <row r="7652" spans="3:14">
      <c r="C7652">
        <v>2100300025</v>
      </c>
      <c r="D7652">
        <v>6426000</v>
      </c>
      <c r="E7652" t="s">
        <v>188</v>
      </c>
      <c r="F7652">
        <v>5104010107</v>
      </c>
      <c r="G7652" s="13">
        <v>9450</v>
      </c>
      <c r="I7652" t="s">
        <v>150</v>
      </c>
      <c r="J7652" t="s">
        <v>558</v>
      </c>
      <c r="K7652" t="s">
        <v>154</v>
      </c>
      <c r="L7652">
        <v>8001339961</v>
      </c>
      <c r="N7652" t="s">
        <v>1439</v>
      </c>
    </row>
    <row r="7653" spans="3:14">
      <c r="C7653">
        <v>2100300025</v>
      </c>
      <c r="D7653">
        <v>6426000</v>
      </c>
      <c r="E7653" t="s">
        <v>188</v>
      </c>
      <c r="F7653">
        <v>5104010107</v>
      </c>
      <c r="G7653" s="13">
        <v>13200</v>
      </c>
      <c r="I7653" t="s">
        <v>150</v>
      </c>
      <c r="J7653" t="s">
        <v>976</v>
      </c>
      <c r="K7653" t="s">
        <v>154</v>
      </c>
      <c r="L7653">
        <v>8001264788</v>
      </c>
      <c r="N7653" t="s">
        <v>1439</v>
      </c>
    </row>
    <row r="7654" spans="3:14">
      <c r="C7654">
        <v>2100300025</v>
      </c>
      <c r="D7654">
        <v>6426000</v>
      </c>
      <c r="E7654" t="s">
        <v>188</v>
      </c>
      <c r="F7654">
        <v>5104010107</v>
      </c>
      <c r="G7654" s="13">
        <v>12305</v>
      </c>
      <c r="I7654" t="s">
        <v>150</v>
      </c>
      <c r="J7654" t="s">
        <v>858</v>
      </c>
      <c r="K7654" t="s">
        <v>154</v>
      </c>
      <c r="L7654">
        <v>8001265161</v>
      </c>
      <c r="N7654" t="s">
        <v>1439</v>
      </c>
    </row>
    <row r="7655" spans="3:14">
      <c r="C7655">
        <v>2100300025</v>
      </c>
      <c r="D7655">
        <v>6426000</v>
      </c>
      <c r="E7655" t="s">
        <v>188</v>
      </c>
      <c r="F7655">
        <v>5104010107</v>
      </c>
      <c r="G7655" s="13">
        <v>-493999</v>
      </c>
      <c r="I7655" t="s">
        <v>150</v>
      </c>
      <c r="J7655" t="s">
        <v>978</v>
      </c>
      <c r="K7655" t="s">
        <v>154</v>
      </c>
      <c r="L7655">
        <v>8001544890</v>
      </c>
      <c r="N7655" t="s">
        <v>1031</v>
      </c>
    </row>
    <row r="7656" spans="3:14">
      <c r="C7656">
        <v>2100300025</v>
      </c>
      <c r="D7656">
        <v>6426000</v>
      </c>
      <c r="E7656" t="s">
        <v>188</v>
      </c>
      <c r="F7656">
        <v>5104010107</v>
      </c>
      <c r="G7656" s="13">
        <v>493999</v>
      </c>
      <c r="I7656" t="s">
        <v>150</v>
      </c>
      <c r="J7656" t="s">
        <v>978</v>
      </c>
      <c r="K7656" t="s">
        <v>154</v>
      </c>
      <c r="L7656">
        <v>8001530992</v>
      </c>
      <c r="N7656" t="s">
        <v>1031</v>
      </c>
    </row>
    <row r="7657" spans="3:14">
      <c r="C7657">
        <v>2100300025</v>
      </c>
      <c r="D7657">
        <v>6426000</v>
      </c>
      <c r="E7657" t="s">
        <v>188</v>
      </c>
      <c r="F7657">
        <v>5104010107</v>
      </c>
      <c r="G7657" s="13">
        <v>12840</v>
      </c>
      <c r="I7657" t="s">
        <v>150</v>
      </c>
      <c r="J7657" t="s">
        <v>984</v>
      </c>
      <c r="K7657" t="s">
        <v>154</v>
      </c>
      <c r="L7657">
        <v>8001499751</v>
      </c>
      <c r="N7657" t="s">
        <v>1439</v>
      </c>
    </row>
    <row r="7658" spans="3:14">
      <c r="C7658">
        <v>2100300025</v>
      </c>
      <c r="D7658">
        <v>6426000</v>
      </c>
      <c r="E7658" t="s">
        <v>188</v>
      </c>
      <c r="F7658">
        <v>5104010107</v>
      </c>
      <c r="G7658" s="13">
        <v>6380</v>
      </c>
      <c r="I7658" t="s">
        <v>150</v>
      </c>
      <c r="J7658" t="s">
        <v>985</v>
      </c>
      <c r="K7658" t="s">
        <v>154</v>
      </c>
      <c r="L7658">
        <v>8001490126</v>
      </c>
      <c r="N7658" t="s">
        <v>1039</v>
      </c>
    </row>
    <row r="7659" spans="3:14">
      <c r="C7659">
        <v>2100300025</v>
      </c>
      <c r="D7659">
        <v>6426000</v>
      </c>
      <c r="E7659" t="s">
        <v>188</v>
      </c>
      <c r="F7659">
        <v>5104010112</v>
      </c>
      <c r="G7659" s="13">
        <v>22950</v>
      </c>
      <c r="I7659" t="s">
        <v>150</v>
      </c>
      <c r="J7659" t="s">
        <v>1052</v>
      </c>
      <c r="K7659" t="s">
        <v>490</v>
      </c>
      <c r="L7659">
        <v>8001597978</v>
      </c>
      <c r="N7659" t="s">
        <v>1442</v>
      </c>
    </row>
    <row r="7660" spans="3:14">
      <c r="C7660">
        <v>2100300025</v>
      </c>
      <c r="D7660">
        <v>6426000</v>
      </c>
      <c r="E7660" t="s">
        <v>188</v>
      </c>
      <c r="F7660">
        <v>5104010112</v>
      </c>
      <c r="G7660" s="13">
        <v>133250</v>
      </c>
      <c r="I7660" t="s">
        <v>150</v>
      </c>
      <c r="J7660" t="s">
        <v>808</v>
      </c>
      <c r="K7660" t="s">
        <v>490</v>
      </c>
      <c r="L7660">
        <v>8001658843</v>
      </c>
      <c r="N7660" t="s">
        <v>1035</v>
      </c>
    </row>
    <row r="7661" spans="3:14">
      <c r="C7661">
        <v>2100300025</v>
      </c>
      <c r="D7661">
        <v>6426000</v>
      </c>
      <c r="E7661" t="s">
        <v>188</v>
      </c>
      <c r="F7661">
        <v>5104010112</v>
      </c>
      <c r="G7661" s="13">
        <v>13000</v>
      </c>
      <c r="I7661" t="s">
        <v>150</v>
      </c>
      <c r="J7661" t="s">
        <v>815</v>
      </c>
      <c r="K7661" t="s">
        <v>490</v>
      </c>
      <c r="L7661">
        <v>8001861111</v>
      </c>
      <c r="N7661" t="s">
        <v>1031</v>
      </c>
    </row>
    <row r="7662" spans="3:14">
      <c r="C7662">
        <v>2100300025</v>
      </c>
      <c r="D7662">
        <v>6426000</v>
      </c>
      <c r="E7662" t="s">
        <v>188</v>
      </c>
      <c r="F7662">
        <v>5104010112</v>
      </c>
      <c r="G7662" s="13">
        <v>-22950</v>
      </c>
      <c r="I7662" t="s">
        <v>150</v>
      </c>
      <c r="J7662" t="s">
        <v>1052</v>
      </c>
      <c r="K7662" t="s">
        <v>490</v>
      </c>
      <c r="L7662">
        <v>8001597980</v>
      </c>
      <c r="N7662" t="s">
        <v>1442</v>
      </c>
    </row>
    <row r="7663" spans="3:14">
      <c r="C7663">
        <v>2100300025</v>
      </c>
      <c r="D7663">
        <v>6426000</v>
      </c>
      <c r="E7663" t="s">
        <v>188</v>
      </c>
      <c r="F7663">
        <v>5104010112</v>
      </c>
      <c r="G7663" s="13">
        <v>-14000</v>
      </c>
      <c r="I7663" t="s">
        <v>150</v>
      </c>
      <c r="J7663" t="s">
        <v>877</v>
      </c>
      <c r="K7663" t="s">
        <v>490</v>
      </c>
      <c r="L7663">
        <v>8001602920</v>
      </c>
      <c r="N7663" t="s">
        <v>1039</v>
      </c>
    </row>
    <row r="7664" spans="3:14">
      <c r="C7664">
        <v>2100300025</v>
      </c>
      <c r="D7664">
        <v>6426000</v>
      </c>
      <c r="E7664" t="s">
        <v>188</v>
      </c>
      <c r="F7664">
        <v>5104010112</v>
      </c>
      <c r="G7664" s="13">
        <v>14000</v>
      </c>
      <c r="I7664" t="s">
        <v>150</v>
      </c>
      <c r="J7664" t="s">
        <v>806</v>
      </c>
      <c r="K7664" t="s">
        <v>490</v>
      </c>
      <c r="L7664">
        <v>8001602921</v>
      </c>
      <c r="N7664" t="s">
        <v>1039</v>
      </c>
    </row>
    <row r="7665" spans="3:14">
      <c r="C7665">
        <v>2100300025</v>
      </c>
      <c r="D7665">
        <v>6426000</v>
      </c>
      <c r="E7665" t="s">
        <v>188</v>
      </c>
      <c r="F7665">
        <v>5104010112</v>
      </c>
      <c r="G7665" s="13">
        <v>6880</v>
      </c>
      <c r="I7665" t="s">
        <v>150</v>
      </c>
      <c r="J7665" t="s">
        <v>877</v>
      </c>
      <c r="K7665" t="s">
        <v>490</v>
      </c>
      <c r="L7665">
        <v>8001598016</v>
      </c>
      <c r="N7665" t="s">
        <v>1031</v>
      </c>
    </row>
    <row r="7666" spans="3:14">
      <c r="C7666">
        <v>2100300025</v>
      </c>
      <c r="D7666">
        <v>6426000</v>
      </c>
      <c r="E7666" t="s">
        <v>188</v>
      </c>
      <c r="F7666">
        <v>5104010112</v>
      </c>
      <c r="G7666" s="13">
        <v>22950</v>
      </c>
      <c r="I7666" t="s">
        <v>150</v>
      </c>
      <c r="J7666" t="s">
        <v>1052</v>
      </c>
      <c r="K7666" t="s">
        <v>490</v>
      </c>
      <c r="L7666">
        <v>8001597987</v>
      </c>
      <c r="N7666" t="s">
        <v>1442</v>
      </c>
    </row>
    <row r="7667" spans="3:14">
      <c r="C7667">
        <v>2100300025</v>
      </c>
      <c r="D7667">
        <v>6426000</v>
      </c>
      <c r="E7667" t="s">
        <v>188</v>
      </c>
      <c r="F7667">
        <v>5104010112</v>
      </c>
      <c r="G7667" s="13">
        <v>6880</v>
      </c>
      <c r="I7667" t="s">
        <v>150</v>
      </c>
      <c r="J7667" t="s">
        <v>806</v>
      </c>
      <c r="K7667" t="s">
        <v>490</v>
      </c>
      <c r="L7667">
        <v>8001602905</v>
      </c>
      <c r="N7667" t="s">
        <v>1031</v>
      </c>
    </row>
    <row r="7668" spans="3:14">
      <c r="C7668">
        <v>2100300025</v>
      </c>
      <c r="D7668">
        <v>6426000</v>
      </c>
      <c r="E7668" t="s">
        <v>188</v>
      </c>
      <c r="F7668">
        <v>5104010112</v>
      </c>
      <c r="G7668" s="13">
        <v>-18000</v>
      </c>
      <c r="I7668" t="s">
        <v>150</v>
      </c>
      <c r="J7668" t="s">
        <v>998</v>
      </c>
      <c r="K7668" t="s">
        <v>490</v>
      </c>
      <c r="L7668">
        <v>8001712712</v>
      </c>
      <c r="N7668" t="s">
        <v>1439</v>
      </c>
    </row>
    <row r="7669" spans="3:14">
      <c r="C7669">
        <v>2100300025</v>
      </c>
      <c r="D7669">
        <v>6426000</v>
      </c>
      <c r="E7669" t="s">
        <v>188</v>
      </c>
      <c r="F7669">
        <v>5104010112</v>
      </c>
      <c r="G7669" s="13">
        <v>-12800</v>
      </c>
      <c r="I7669" t="s">
        <v>150</v>
      </c>
      <c r="J7669" t="s">
        <v>885</v>
      </c>
      <c r="K7669" t="s">
        <v>490</v>
      </c>
      <c r="L7669">
        <v>8001712719</v>
      </c>
      <c r="N7669" t="s">
        <v>1039</v>
      </c>
    </row>
    <row r="7670" spans="3:14">
      <c r="C7670">
        <v>2100300025</v>
      </c>
      <c r="D7670">
        <v>6426000</v>
      </c>
      <c r="E7670" t="s">
        <v>188</v>
      </c>
      <c r="F7670">
        <v>5104010112</v>
      </c>
      <c r="G7670" s="13">
        <v>-27550</v>
      </c>
      <c r="I7670" t="s">
        <v>150</v>
      </c>
      <c r="J7670" t="s">
        <v>998</v>
      </c>
      <c r="K7670" t="s">
        <v>490</v>
      </c>
      <c r="L7670">
        <v>8001705563</v>
      </c>
      <c r="N7670" t="s">
        <v>1439</v>
      </c>
    </row>
    <row r="7671" spans="3:14">
      <c r="C7671">
        <v>2100300025</v>
      </c>
      <c r="D7671">
        <v>6426000</v>
      </c>
      <c r="E7671" t="s">
        <v>188</v>
      </c>
      <c r="F7671">
        <v>5104010112</v>
      </c>
      <c r="G7671" s="13">
        <v>18000</v>
      </c>
      <c r="I7671" t="s">
        <v>150</v>
      </c>
      <c r="J7671" t="s">
        <v>998</v>
      </c>
      <c r="K7671" t="s">
        <v>490</v>
      </c>
      <c r="L7671">
        <v>8001712496</v>
      </c>
      <c r="N7671" t="s">
        <v>1439</v>
      </c>
    </row>
    <row r="7672" spans="3:14">
      <c r="C7672">
        <v>2100300025</v>
      </c>
      <c r="D7672">
        <v>6426000</v>
      </c>
      <c r="E7672" t="s">
        <v>188</v>
      </c>
      <c r="F7672">
        <v>5104010112</v>
      </c>
      <c r="G7672" s="13">
        <v>12800</v>
      </c>
      <c r="I7672" t="s">
        <v>150</v>
      </c>
      <c r="J7672" t="s">
        <v>885</v>
      </c>
      <c r="K7672" t="s">
        <v>490</v>
      </c>
      <c r="L7672">
        <v>8001712707</v>
      </c>
      <c r="N7672" t="s">
        <v>1039</v>
      </c>
    </row>
    <row r="7673" spans="3:14">
      <c r="C7673">
        <v>2100300025</v>
      </c>
      <c r="D7673">
        <v>6426000</v>
      </c>
      <c r="E7673" t="s">
        <v>188</v>
      </c>
      <c r="F7673">
        <v>5104010112</v>
      </c>
      <c r="G7673" s="13">
        <v>15000.01</v>
      </c>
      <c r="I7673" t="s">
        <v>150</v>
      </c>
      <c r="J7673" t="s">
        <v>811</v>
      </c>
      <c r="K7673" t="s">
        <v>490</v>
      </c>
      <c r="L7673">
        <v>8001703899</v>
      </c>
      <c r="N7673" t="s">
        <v>1443</v>
      </c>
    </row>
    <row r="7674" spans="3:14">
      <c r="C7674">
        <v>2100300025</v>
      </c>
      <c r="D7674">
        <v>6426000</v>
      </c>
      <c r="E7674" t="s">
        <v>188</v>
      </c>
      <c r="F7674">
        <v>5104010112</v>
      </c>
      <c r="G7674" s="13">
        <v>-25800</v>
      </c>
      <c r="I7674" t="s">
        <v>150</v>
      </c>
      <c r="J7674" t="s">
        <v>817</v>
      </c>
      <c r="K7674" t="s">
        <v>490</v>
      </c>
      <c r="L7674">
        <v>8001805212</v>
      </c>
      <c r="N7674" t="s">
        <v>1031</v>
      </c>
    </row>
    <row r="7675" spans="3:14">
      <c r="C7675">
        <v>2100300025</v>
      </c>
      <c r="D7675">
        <v>6426000</v>
      </c>
      <c r="E7675" t="s">
        <v>188</v>
      </c>
      <c r="F7675">
        <v>5104010112</v>
      </c>
      <c r="G7675" s="13">
        <v>25800</v>
      </c>
      <c r="I7675" t="s">
        <v>150</v>
      </c>
      <c r="J7675" t="s">
        <v>817</v>
      </c>
      <c r="K7675" t="s">
        <v>490</v>
      </c>
      <c r="L7675">
        <v>8001859364</v>
      </c>
      <c r="N7675" t="s">
        <v>1031</v>
      </c>
    </row>
    <row r="7676" spans="3:14">
      <c r="C7676">
        <v>2100300025</v>
      </c>
      <c r="D7676">
        <v>6426000</v>
      </c>
      <c r="E7676" t="s">
        <v>188</v>
      </c>
      <c r="F7676">
        <v>5104010112</v>
      </c>
      <c r="G7676" s="13">
        <v>7000</v>
      </c>
      <c r="I7676" t="s">
        <v>150</v>
      </c>
      <c r="J7676" t="s">
        <v>898</v>
      </c>
      <c r="K7676" t="s">
        <v>490</v>
      </c>
      <c r="L7676">
        <v>8001824367</v>
      </c>
      <c r="N7676" t="s">
        <v>1031</v>
      </c>
    </row>
    <row r="7677" spans="3:14">
      <c r="C7677">
        <v>2100300025</v>
      </c>
      <c r="D7677">
        <v>6426000</v>
      </c>
      <c r="E7677" t="s">
        <v>188</v>
      </c>
      <c r="F7677">
        <v>5104010112</v>
      </c>
      <c r="G7677" s="13">
        <v>133250</v>
      </c>
      <c r="I7677" t="s">
        <v>150</v>
      </c>
      <c r="J7677" t="s">
        <v>1112</v>
      </c>
      <c r="K7677" t="s">
        <v>490</v>
      </c>
      <c r="L7677">
        <v>8001773533</v>
      </c>
      <c r="N7677" t="s">
        <v>1035</v>
      </c>
    </row>
    <row r="7678" spans="3:14">
      <c r="C7678">
        <v>2100300025</v>
      </c>
      <c r="D7678">
        <v>6426000</v>
      </c>
      <c r="E7678" t="s">
        <v>188</v>
      </c>
      <c r="F7678">
        <v>5104010112</v>
      </c>
      <c r="G7678" s="13">
        <v>5000</v>
      </c>
      <c r="I7678" t="s">
        <v>150</v>
      </c>
      <c r="J7678" t="s">
        <v>812</v>
      </c>
      <c r="K7678" t="s">
        <v>490</v>
      </c>
      <c r="L7678">
        <v>8001810940</v>
      </c>
      <c r="N7678" t="s">
        <v>1031</v>
      </c>
    </row>
    <row r="7679" spans="3:14">
      <c r="C7679">
        <v>2100300025</v>
      </c>
      <c r="D7679">
        <v>6426000</v>
      </c>
      <c r="E7679" t="s">
        <v>188</v>
      </c>
      <c r="F7679">
        <v>5104010112</v>
      </c>
      <c r="G7679" s="13">
        <v>25800</v>
      </c>
      <c r="I7679" t="s">
        <v>150</v>
      </c>
      <c r="J7679" t="s">
        <v>817</v>
      </c>
      <c r="K7679" t="s">
        <v>490</v>
      </c>
      <c r="L7679">
        <v>8001851067</v>
      </c>
      <c r="N7679" t="s">
        <v>1031</v>
      </c>
    </row>
    <row r="7680" spans="3:14">
      <c r="C7680">
        <v>2100300025</v>
      </c>
      <c r="D7680">
        <v>6426000</v>
      </c>
      <c r="E7680" t="s">
        <v>188</v>
      </c>
      <c r="F7680">
        <v>5104010112</v>
      </c>
      <c r="G7680" s="13">
        <v>-35000</v>
      </c>
      <c r="I7680" t="s">
        <v>150</v>
      </c>
      <c r="J7680" t="s">
        <v>902</v>
      </c>
      <c r="K7680" t="s">
        <v>490</v>
      </c>
      <c r="L7680">
        <v>8000106549</v>
      </c>
      <c r="N7680" t="s">
        <v>1031</v>
      </c>
    </row>
    <row r="7681" spans="3:14">
      <c r="C7681">
        <v>2100300025</v>
      </c>
      <c r="D7681">
        <v>6426000</v>
      </c>
      <c r="E7681" t="s">
        <v>188</v>
      </c>
      <c r="F7681">
        <v>5104010112</v>
      </c>
      <c r="G7681" s="13">
        <v>-35000</v>
      </c>
      <c r="I7681" t="s">
        <v>150</v>
      </c>
      <c r="J7681" t="s">
        <v>902</v>
      </c>
      <c r="K7681" t="s">
        <v>490</v>
      </c>
      <c r="L7681">
        <v>8000105090</v>
      </c>
      <c r="N7681" t="s">
        <v>1031</v>
      </c>
    </row>
    <row r="7682" spans="3:14">
      <c r="C7682">
        <v>2100300025</v>
      </c>
      <c r="D7682">
        <v>6426000</v>
      </c>
      <c r="E7682" t="s">
        <v>188</v>
      </c>
      <c r="F7682">
        <v>5104010112</v>
      </c>
      <c r="G7682" s="13">
        <v>-60000</v>
      </c>
      <c r="I7682" t="s">
        <v>150</v>
      </c>
      <c r="J7682" t="s">
        <v>902</v>
      </c>
      <c r="K7682" t="s">
        <v>490</v>
      </c>
      <c r="L7682">
        <v>8000109072</v>
      </c>
      <c r="N7682" t="s">
        <v>1031</v>
      </c>
    </row>
    <row r="7683" spans="3:14">
      <c r="C7683">
        <v>2100300025</v>
      </c>
      <c r="D7683">
        <v>6426000</v>
      </c>
      <c r="E7683" t="s">
        <v>188</v>
      </c>
      <c r="F7683">
        <v>5104010112</v>
      </c>
      <c r="G7683" s="13">
        <v>-35000</v>
      </c>
      <c r="I7683" t="s">
        <v>150</v>
      </c>
      <c r="J7683" t="s">
        <v>902</v>
      </c>
      <c r="K7683" t="s">
        <v>490</v>
      </c>
      <c r="L7683">
        <v>8000121127</v>
      </c>
      <c r="N7683" t="s">
        <v>1031</v>
      </c>
    </row>
    <row r="7684" spans="3:14">
      <c r="C7684">
        <v>2100300025</v>
      </c>
      <c r="D7684">
        <v>6426000</v>
      </c>
      <c r="E7684" t="s">
        <v>188</v>
      </c>
      <c r="F7684">
        <v>5104010112</v>
      </c>
      <c r="G7684" s="13">
        <v>-6000</v>
      </c>
      <c r="I7684" t="s">
        <v>150</v>
      </c>
      <c r="J7684" t="s">
        <v>908</v>
      </c>
      <c r="K7684" t="s">
        <v>490</v>
      </c>
      <c r="L7684">
        <v>8000119789</v>
      </c>
      <c r="N7684" t="s">
        <v>1031</v>
      </c>
    </row>
    <row r="7685" spans="3:14">
      <c r="C7685">
        <v>2100300025</v>
      </c>
      <c r="D7685">
        <v>6426000</v>
      </c>
      <c r="E7685" t="s">
        <v>188</v>
      </c>
      <c r="F7685">
        <v>5104010112</v>
      </c>
      <c r="G7685" s="13">
        <v>6000</v>
      </c>
      <c r="I7685" t="s">
        <v>150</v>
      </c>
      <c r="J7685" t="s">
        <v>908</v>
      </c>
      <c r="K7685" t="s">
        <v>490</v>
      </c>
      <c r="L7685">
        <v>8000110654</v>
      </c>
      <c r="N7685" t="s">
        <v>1031</v>
      </c>
    </row>
    <row r="7686" spans="3:14">
      <c r="C7686">
        <v>2100300025</v>
      </c>
      <c r="D7686">
        <v>6426000</v>
      </c>
      <c r="E7686" t="s">
        <v>188</v>
      </c>
      <c r="F7686">
        <v>5104010112</v>
      </c>
      <c r="G7686" s="13">
        <v>60000</v>
      </c>
      <c r="I7686" t="s">
        <v>150</v>
      </c>
      <c r="J7686" t="s">
        <v>902</v>
      </c>
      <c r="K7686" t="s">
        <v>490</v>
      </c>
      <c r="L7686">
        <v>8000107217</v>
      </c>
      <c r="N7686" t="s">
        <v>1031</v>
      </c>
    </row>
    <row r="7687" spans="3:14">
      <c r="C7687">
        <v>2100300025</v>
      </c>
      <c r="D7687">
        <v>6426000</v>
      </c>
      <c r="E7687" t="s">
        <v>188</v>
      </c>
      <c r="F7687">
        <v>5104010112</v>
      </c>
      <c r="G7687" s="13">
        <v>160000</v>
      </c>
      <c r="I7687" t="s">
        <v>150</v>
      </c>
      <c r="J7687" t="s">
        <v>902</v>
      </c>
      <c r="K7687" t="s">
        <v>490</v>
      </c>
      <c r="L7687">
        <v>8000095731</v>
      </c>
      <c r="N7687" t="s">
        <v>1031</v>
      </c>
    </row>
    <row r="7688" spans="3:14">
      <c r="C7688">
        <v>2100300025</v>
      </c>
      <c r="D7688">
        <v>6426000</v>
      </c>
      <c r="E7688" t="s">
        <v>188</v>
      </c>
      <c r="F7688">
        <v>5104010112</v>
      </c>
      <c r="G7688" s="13">
        <v>-8977</v>
      </c>
      <c r="I7688" t="s">
        <v>150</v>
      </c>
      <c r="J7688" t="s">
        <v>799</v>
      </c>
      <c r="K7688" t="s">
        <v>490</v>
      </c>
      <c r="L7688">
        <v>8000165470</v>
      </c>
      <c r="N7688" t="s">
        <v>1031</v>
      </c>
    </row>
    <row r="7689" spans="3:14">
      <c r="C7689">
        <v>2100300025</v>
      </c>
      <c r="D7689">
        <v>6426000</v>
      </c>
      <c r="E7689" t="s">
        <v>188</v>
      </c>
      <c r="F7689">
        <v>5104010112</v>
      </c>
      <c r="G7689" s="13">
        <v>633333</v>
      </c>
      <c r="I7689" t="s">
        <v>150</v>
      </c>
      <c r="J7689" t="s">
        <v>799</v>
      </c>
      <c r="K7689" t="s">
        <v>490</v>
      </c>
      <c r="L7689">
        <v>8000089780</v>
      </c>
      <c r="N7689" t="s">
        <v>1031</v>
      </c>
    </row>
    <row r="7690" spans="3:14">
      <c r="C7690">
        <v>2100300025</v>
      </c>
      <c r="D7690">
        <v>6426000</v>
      </c>
      <c r="E7690" t="s">
        <v>188</v>
      </c>
      <c r="F7690">
        <v>5104010112</v>
      </c>
      <c r="G7690" s="13">
        <v>240000</v>
      </c>
      <c r="I7690" t="s">
        <v>150</v>
      </c>
      <c r="J7690" t="s">
        <v>915</v>
      </c>
      <c r="K7690" t="s">
        <v>490</v>
      </c>
      <c r="L7690">
        <v>8000233947</v>
      </c>
      <c r="N7690" t="s">
        <v>1439</v>
      </c>
    </row>
    <row r="7691" spans="3:14">
      <c r="C7691">
        <v>2100300025</v>
      </c>
      <c r="D7691">
        <v>6426000</v>
      </c>
      <c r="E7691" t="s">
        <v>188</v>
      </c>
      <c r="F7691">
        <v>5104010112</v>
      </c>
      <c r="G7691" s="13">
        <v>20062.5</v>
      </c>
      <c r="I7691" t="s">
        <v>150</v>
      </c>
      <c r="J7691" t="s">
        <v>915</v>
      </c>
      <c r="K7691" t="s">
        <v>490</v>
      </c>
      <c r="L7691">
        <v>8000234471</v>
      </c>
      <c r="N7691" t="s">
        <v>1031</v>
      </c>
    </row>
    <row r="7692" spans="3:14">
      <c r="C7692">
        <v>2100300025</v>
      </c>
      <c r="D7692">
        <v>6426000</v>
      </c>
      <c r="E7692" t="s">
        <v>188</v>
      </c>
      <c r="F7692">
        <v>5104010112</v>
      </c>
      <c r="G7692" s="13">
        <v>242580</v>
      </c>
      <c r="I7692" t="s">
        <v>150</v>
      </c>
      <c r="J7692" t="s">
        <v>555</v>
      </c>
      <c r="K7692" t="s">
        <v>490</v>
      </c>
      <c r="L7692">
        <v>8000064447</v>
      </c>
      <c r="N7692" t="s">
        <v>1031</v>
      </c>
    </row>
    <row r="7693" spans="3:14">
      <c r="C7693">
        <v>2100300025</v>
      </c>
      <c r="D7693">
        <v>6426000</v>
      </c>
      <c r="E7693" t="s">
        <v>188</v>
      </c>
      <c r="F7693">
        <v>5104010112</v>
      </c>
      <c r="G7693" s="13">
        <v>-5000</v>
      </c>
      <c r="I7693" t="s">
        <v>150</v>
      </c>
      <c r="J7693" t="s">
        <v>804</v>
      </c>
      <c r="K7693" t="s">
        <v>490</v>
      </c>
      <c r="L7693">
        <v>8001647830</v>
      </c>
      <c r="N7693" t="s">
        <v>1042</v>
      </c>
    </row>
    <row r="7694" spans="3:14">
      <c r="C7694">
        <v>2100300025</v>
      </c>
      <c r="D7694">
        <v>6426000</v>
      </c>
      <c r="E7694" t="s">
        <v>188</v>
      </c>
      <c r="F7694">
        <v>5104010112</v>
      </c>
      <c r="G7694" s="13">
        <v>-70000</v>
      </c>
      <c r="I7694" t="s">
        <v>150</v>
      </c>
      <c r="J7694" t="s">
        <v>881</v>
      </c>
      <c r="K7694" t="s">
        <v>490</v>
      </c>
      <c r="L7694">
        <v>8001602799</v>
      </c>
      <c r="N7694" t="s">
        <v>1039</v>
      </c>
    </row>
    <row r="7695" spans="3:14">
      <c r="C7695">
        <v>2100300025</v>
      </c>
      <c r="D7695">
        <v>6426000</v>
      </c>
      <c r="E7695" t="s">
        <v>188</v>
      </c>
      <c r="F7695">
        <v>5104010112</v>
      </c>
      <c r="G7695" s="13">
        <v>-6880</v>
      </c>
      <c r="I7695" t="s">
        <v>150</v>
      </c>
      <c r="J7695" t="s">
        <v>877</v>
      </c>
      <c r="K7695" t="s">
        <v>490</v>
      </c>
      <c r="L7695">
        <v>8001602903</v>
      </c>
      <c r="N7695" t="s">
        <v>1031</v>
      </c>
    </row>
    <row r="7696" spans="3:14">
      <c r="C7696">
        <v>2100300025</v>
      </c>
      <c r="D7696">
        <v>6426000</v>
      </c>
      <c r="E7696" t="s">
        <v>188</v>
      </c>
      <c r="F7696">
        <v>5104010112</v>
      </c>
      <c r="G7696" s="13">
        <v>70000</v>
      </c>
      <c r="I7696" t="s">
        <v>150</v>
      </c>
      <c r="J7696" t="s">
        <v>881</v>
      </c>
      <c r="K7696" t="s">
        <v>490</v>
      </c>
      <c r="L7696">
        <v>8001602800</v>
      </c>
      <c r="N7696" t="s">
        <v>1039</v>
      </c>
    </row>
    <row r="7697" spans="3:14">
      <c r="C7697">
        <v>2100300025</v>
      </c>
      <c r="D7697">
        <v>6426000</v>
      </c>
      <c r="E7697" t="s">
        <v>188</v>
      </c>
      <c r="F7697">
        <v>5104010112</v>
      </c>
      <c r="G7697" s="13">
        <v>14000</v>
      </c>
      <c r="I7697" t="s">
        <v>150</v>
      </c>
      <c r="J7697" t="s">
        <v>877</v>
      </c>
      <c r="K7697" t="s">
        <v>490</v>
      </c>
      <c r="L7697">
        <v>8001597952</v>
      </c>
      <c r="N7697" t="s">
        <v>1039</v>
      </c>
    </row>
    <row r="7698" spans="3:14">
      <c r="C7698">
        <v>2100300025</v>
      </c>
      <c r="D7698">
        <v>6426000</v>
      </c>
      <c r="E7698" t="s">
        <v>188</v>
      </c>
      <c r="F7698">
        <v>5104010112</v>
      </c>
      <c r="G7698" s="13">
        <v>10000</v>
      </c>
      <c r="I7698" t="s">
        <v>150</v>
      </c>
      <c r="J7698" t="s">
        <v>881</v>
      </c>
      <c r="K7698" t="s">
        <v>490</v>
      </c>
      <c r="L7698">
        <v>8001598601</v>
      </c>
      <c r="N7698" t="s">
        <v>1039</v>
      </c>
    </row>
    <row r="7699" spans="3:14">
      <c r="C7699">
        <v>2100300025</v>
      </c>
      <c r="D7699">
        <v>6426000</v>
      </c>
      <c r="E7699" t="s">
        <v>188</v>
      </c>
      <c r="F7699">
        <v>5104010112</v>
      </c>
      <c r="G7699" s="13">
        <v>70000</v>
      </c>
      <c r="I7699" t="s">
        <v>150</v>
      </c>
      <c r="J7699" t="s">
        <v>881</v>
      </c>
      <c r="K7699" t="s">
        <v>490</v>
      </c>
      <c r="L7699">
        <v>8001598314</v>
      </c>
      <c r="N7699" t="s">
        <v>1039</v>
      </c>
    </row>
    <row r="7700" spans="3:14">
      <c r="C7700">
        <v>2100300025</v>
      </c>
      <c r="D7700">
        <v>6426000</v>
      </c>
      <c r="E7700" t="s">
        <v>188</v>
      </c>
      <c r="F7700">
        <v>5104010112</v>
      </c>
      <c r="G7700" s="13">
        <v>5000</v>
      </c>
      <c r="I7700" t="s">
        <v>150</v>
      </c>
      <c r="J7700" t="s">
        <v>804</v>
      </c>
      <c r="K7700" t="s">
        <v>490</v>
      </c>
      <c r="L7700">
        <v>8001630696</v>
      </c>
      <c r="N7700" t="s">
        <v>1042</v>
      </c>
    </row>
    <row r="7701" spans="3:14">
      <c r="C7701">
        <v>2100300025</v>
      </c>
      <c r="D7701">
        <v>6426000</v>
      </c>
      <c r="E7701" t="s">
        <v>188</v>
      </c>
      <c r="F7701">
        <v>5104010112</v>
      </c>
      <c r="G7701" s="13">
        <v>23436</v>
      </c>
      <c r="I7701" t="s">
        <v>150</v>
      </c>
      <c r="J7701" t="s">
        <v>878</v>
      </c>
      <c r="K7701" t="s">
        <v>490</v>
      </c>
      <c r="L7701">
        <v>8001607842</v>
      </c>
      <c r="N7701" t="s">
        <v>1444</v>
      </c>
    </row>
    <row r="7702" spans="3:14">
      <c r="C7702">
        <v>2100300025</v>
      </c>
      <c r="D7702">
        <v>6426000</v>
      </c>
      <c r="E7702" t="s">
        <v>188</v>
      </c>
      <c r="F7702">
        <v>5104010112</v>
      </c>
      <c r="G7702" s="13">
        <v>223800</v>
      </c>
      <c r="I7702" t="s">
        <v>150</v>
      </c>
      <c r="J7702" t="s">
        <v>878</v>
      </c>
      <c r="K7702" t="s">
        <v>490</v>
      </c>
      <c r="L7702">
        <v>8001607872</v>
      </c>
      <c r="N7702" t="s">
        <v>1439</v>
      </c>
    </row>
    <row r="7703" spans="3:14">
      <c r="C7703">
        <v>2100300025</v>
      </c>
      <c r="D7703">
        <v>6426000</v>
      </c>
      <c r="E7703" t="s">
        <v>188</v>
      </c>
      <c r="F7703">
        <v>5104010112</v>
      </c>
      <c r="G7703" s="13">
        <v>92045</v>
      </c>
      <c r="I7703" t="s">
        <v>150</v>
      </c>
      <c r="J7703" t="s">
        <v>787</v>
      </c>
      <c r="K7703" t="s">
        <v>490</v>
      </c>
      <c r="L7703">
        <v>8001621928</v>
      </c>
      <c r="N7703" t="s">
        <v>1039</v>
      </c>
    </row>
    <row r="7704" spans="3:14">
      <c r="C7704">
        <v>2100300025</v>
      </c>
      <c r="D7704">
        <v>6426000</v>
      </c>
      <c r="E7704" t="s">
        <v>188</v>
      </c>
      <c r="F7704">
        <v>5104010112</v>
      </c>
      <c r="G7704" s="13">
        <v>10000</v>
      </c>
      <c r="I7704" t="s">
        <v>150</v>
      </c>
      <c r="J7704" t="s">
        <v>1100</v>
      </c>
      <c r="K7704" t="s">
        <v>490</v>
      </c>
      <c r="L7704">
        <v>8001670047</v>
      </c>
      <c r="N7704" t="s">
        <v>1042</v>
      </c>
    </row>
    <row r="7705" spans="3:14">
      <c r="C7705">
        <v>2100300025</v>
      </c>
      <c r="D7705">
        <v>6426000</v>
      </c>
      <c r="E7705" t="s">
        <v>188</v>
      </c>
      <c r="F7705">
        <v>5104010112</v>
      </c>
      <c r="G7705" s="13">
        <v>30000</v>
      </c>
      <c r="I7705" t="s">
        <v>150</v>
      </c>
      <c r="J7705" t="s">
        <v>810</v>
      </c>
      <c r="K7705" t="s">
        <v>490</v>
      </c>
      <c r="L7705">
        <v>8001655579</v>
      </c>
      <c r="N7705" t="s">
        <v>1042</v>
      </c>
    </row>
    <row r="7706" spans="3:14">
      <c r="C7706">
        <v>2100300025</v>
      </c>
      <c r="D7706">
        <v>6426000</v>
      </c>
      <c r="E7706" t="s">
        <v>188</v>
      </c>
      <c r="F7706">
        <v>5104010112</v>
      </c>
      <c r="G7706" s="13">
        <v>12900</v>
      </c>
      <c r="I7706" t="s">
        <v>150</v>
      </c>
      <c r="J7706" t="s">
        <v>809</v>
      </c>
      <c r="K7706" t="s">
        <v>490</v>
      </c>
      <c r="L7706">
        <v>8001655580</v>
      </c>
      <c r="N7706" t="s">
        <v>1042</v>
      </c>
    </row>
    <row r="7707" spans="3:14">
      <c r="C7707">
        <v>2100300025</v>
      </c>
      <c r="D7707">
        <v>6426000</v>
      </c>
      <c r="E7707" t="s">
        <v>188</v>
      </c>
      <c r="F7707">
        <v>5104010112</v>
      </c>
      <c r="G7707" s="13">
        <v>25800</v>
      </c>
      <c r="I7707" t="s">
        <v>150</v>
      </c>
      <c r="J7707" t="s">
        <v>890</v>
      </c>
      <c r="K7707" t="s">
        <v>490</v>
      </c>
      <c r="L7707">
        <v>8001667160</v>
      </c>
      <c r="N7707" t="s">
        <v>1042</v>
      </c>
    </row>
    <row r="7708" spans="3:14">
      <c r="C7708">
        <v>2100300025</v>
      </c>
      <c r="D7708">
        <v>6426000</v>
      </c>
      <c r="E7708" t="s">
        <v>188</v>
      </c>
      <c r="F7708">
        <v>5104010112</v>
      </c>
      <c r="G7708" s="13">
        <v>27550</v>
      </c>
      <c r="I7708" t="s">
        <v>150</v>
      </c>
      <c r="J7708" t="s">
        <v>998</v>
      </c>
      <c r="K7708" t="s">
        <v>490</v>
      </c>
      <c r="L7708">
        <v>8001707425</v>
      </c>
      <c r="N7708" t="s">
        <v>1439</v>
      </c>
    </row>
    <row r="7709" spans="3:14">
      <c r="C7709">
        <v>2100300025</v>
      </c>
      <c r="D7709">
        <v>6426000</v>
      </c>
      <c r="E7709" t="s">
        <v>188</v>
      </c>
      <c r="F7709">
        <v>5104010112</v>
      </c>
      <c r="G7709" s="13">
        <v>27550</v>
      </c>
      <c r="I7709" t="s">
        <v>150</v>
      </c>
      <c r="J7709" t="s">
        <v>998</v>
      </c>
      <c r="K7709" t="s">
        <v>490</v>
      </c>
      <c r="L7709">
        <v>8001703409</v>
      </c>
      <c r="N7709" t="s">
        <v>1439</v>
      </c>
    </row>
    <row r="7710" spans="3:14">
      <c r="C7710">
        <v>2100300025</v>
      </c>
      <c r="D7710">
        <v>6426000</v>
      </c>
      <c r="E7710" t="s">
        <v>188</v>
      </c>
      <c r="F7710">
        <v>5104010112</v>
      </c>
      <c r="G7710" s="13">
        <v>-25800</v>
      </c>
      <c r="I7710" t="s">
        <v>150</v>
      </c>
      <c r="J7710" t="s">
        <v>817</v>
      </c>
      <c r="K7710" t="s">
        <v>490</v>
      </c>
      <c r="L7710">
        <v>8001860386</v>
      </c>
      <c r="N7710" t="s">
        <v>1031</v>
      </c>
    </row>
    <row r="7711" spans="3:14">
      <c r="C7711">
        <v>2100300025</v>
      </c>
      <c r="D7711">
        <v>6426000</v>
      </c>
      <c r="E7711" t="s">
        <v>188</v>
      </c>
      <c r="F7711">
        <v>5104010112</v>
      </c>
      <c r="G7711" s="13">
        <v>-25800</v>
      </c>
      <c r="I7711" t="s">
        <v>150</v>
      </c>
      <c r="J7711" t="s">
        <v>817</v>
      </c>
      <c r="K7711" t="s">
        <v>490</v>
      </c>
      <c r="L7711">
        <v>8001858917</v>
      </c>
      <c r="N7711" t="s">
        <v>1031</v>
      </c>
    </row>
    <row r="7712" spans="3:14">
      <c r="C7712">
        <v>2100300025</v>
      </c>
      <c r="D7712">
        <v>6426000</v>
      </c>
      <c r="E7712" t="s">
        <v>188</v>
      </c>
      <c r="F7712">
        <v>5104010112</v>
      </c>
      <c r="G7712" s="13">
        <v>25800</v>
      </c>
      <c r="I7712" t="s">
        <v>150</v>
      </c>
      <c r="J7712" t="s">
        <v>817</v>
      </c>
      <c r="K7712" t="s">
        <v>490</v>
      </c>
      <c r="L7712">
        <v>8001857082</v>
      </c>
      <c r="N7712" t="s">
        <v>1031</v>
      </c>
    </row>
    <row r="7713" spans="3:14">
      <c r="C7713">
        <v>2100300025</v>
      </c>
      <c r="D7713">
        <v>6426000</v>
      </c>
      <c r="E7713" t="s">
        <v>188</v>
      </c>
      <c r="F7713">
        <v>5104010112</v>
      </c>
      <c r="G7713" s="13">
        <v>-12500</v>
      </c>
      <c r="I7713" t="s">
        <v>150</v>
      </c>
      <c r="J7713" t="s">
        <v>573</v>
      </c>
      <c r="K7713" t="s">
        <v>490</v>
      </c>
      <c r="L7713">
        <v>8001864865</v>
      </c>
      <c r="N7713" t="s">
        <v>1031</v>
      </c>
    </row>
    <row r="7714" spans="3:14">
      <c r="C7714">
        <v>2100300025</v>
      </c>
      <c r="D7714">
        <v>6426000</v>
      </c>
      <c r="E7714" t="s">
        <v>188</v>
      </c>
      <c r="F7714">
        <v>5104010112</v>
      </c>
      <c r="G7714" s="13">
        <v>-80250</v>
      </c>
      <c r="I7714" t="s">
        <v>150</v>
      </c>
      <c r="J7714" t="s">
        <v>573</v>
      </c>
      <c r="K7714" t="s">
        <v>490</v>
      </c>
      <c r="L7714">
        <v>8001852797</v>
      </c>
      <c r="N7714" t="s">
        <v>1031</v>
      </c>
    </row>
    <row r="7715" spans="3:14">
      <c r="C7715">
        <v>2100300025</v>
      </c>
      <c r="D7715">
        <v>6426000</v>
      </c>
      <c r="E7715" t="s">
        <v>188</v>
      </c>
      <c r="F7715">
        <v>5104010112</v>
      </c>
      <c r="G7715" s="13">
        <v>-13375</v>
      </c>
      <c r="I7715" t="s">
        <v>150</v>
      </c>
      <c r="J7715" t="s">
        <v>871</v>
      </c>
      <c r="K7715" t="s">
        <v>490</v>
      </c>
      <c r="L7715">
        <v>8001840267</v>
      </c>
      <c r="N7715" t="s">
        <v>1031</v>
      </c>
    </row>
    <row r="7716" spans="3:14">
      <c r="C7716">
        <v>2100300025</v>
      </c>
      <c r="D7716">
        <v>6426000</v>
      </c>
      <c r="E7716" t="s">
        <v>188</v>
      </c>
      <c r="F7716">
        <v>5104010112</v>
      </c>
      <c r="G7716" s="13">
        <v>25800</v>
      </c>
      <c r="I7716" t="s">
        <v>150</v>
      </c>
      <c r="J7716" t="s">
        <v>817</v>
      </c>
      <c r="K7716" t="s">
        <v>490</v>
      </c>
      <c r="L7716">
        <v>8001861226</v>
      </c>
      <c r="N7716" t="s">
        <v>1031</v>
      </c>
    </row>
    <row r="7717" spans="3:14">
      <c r="C7717">
        <v>2100300025</v>
      </c>
      <c r="D7717">
        <v>6426000</v>
      </c>
      <c r="E7717" t="s">
        <v>188</v>
      </c>
      <c r="F7717">
        <v>5104010112</v>
      </c>
      <c r="G7717" s="13">
        <v>238180</v>
      </c>
      <c r="I7717" t="s">
        <v>150</v>
      </c>
      <c r="J7717" t="s">
        <v>1112</v>
      </c>
      <c r="K7717" t="s">
        <v>490</v>
      </c>
      <c r="L7717">
        <v>8001794121</v>
      </c>
      <c r="N7717" t="s">
        <v>1037</v>
      </c>
    </row>
    <row r="7718" spans="3:14">
      <c r="C7718">
        <v>2100300025</v>
      </c>
      <c r="D7718">
        <v>6426000</v>
      </c>
      <c r="E7718" t="s">
        <v>188</v>
      </c>
      <c r="F7718">
        <v>5104010112</v>
      </c>
      <c r="G7718" s="13">
        <v>13375</v>
      </c>
      <c r="I7718" t="s">
        <v>150</v>
      </c>
      <c r="J7718" t="s">
        <v>871</v>
      </c>
      <c r="K7718" t="s">
        <v>490</v>
      </c>
      <c r="L7718">
        <v>8001824319</v>
      </c>
      <c r="N7718" t="s">
        <v>1031</v>
      </c>
    </row>
    <row r="7719" spans="3:14">
      <c r="C7719">
        <v>2100300025</v>
      </c>
      <c r="D7719">
        <v>6426000</v>
      </c>
      <c r="E7719" t="s">
        <v>188</v>
      </c>
      <c r="F7719">
        <v>5104010112</v>
      </c>
      <c r="G7719" s="13">
        <v>13000</v>
      </c>
      <c r="I7719" t="s">
        <v>150</v>
      </c>
      <c r="J7719" t="s">
        <v>896</v>
      </c>
      <c r="K7719" t="s">
        <v>490</v>
      </c>
      <c r="L7719">
        <v>8001780816</v>
      </c>
      <c r="N7719" t="s">
        <v>1031</v>
      </c>
    </row>
    <row r="7720" spans="3:14">
      <c r="C7720">
        <v>2100300025</v>
      </c>
      <c r="D7720">
        <v>6426000</v>
      </c>
      <c r="E7720" t="s">
        <v>188</v>
      </c>
      <c r="F7720">
        <v>5104010112</v>
      </c>
      <c r="G7720" s="13">
        <v>10165</v>
      </c>
      <c r="I7720" t="s">
        <v>150</v>
      </c>
      <c r="J7720" t="s">
        <v>816</v>
      </c>
      <c r="K7720" t="s">
        <v>490</v>
      </c>
      <c r="L7720">
        <v>8001808187</v>
      </c>
      <c r="N7720" t="s">
        <v>1445</v>
      </c>
    </row>
    <row r="7721" spans="3:14">
      <c r="C7721">
        <v>2100300025</v>
      </c>
      <c r="D7721">
        <v>6426000</v>
      </c>
      <c r="E7721" t="s">
        <v>188</v>
      </c>
      <c r="F7721">
        <v>5104010112</v>
      </c>
      <c r="G7721" s="13">
        <v>12500</v>
      </c>
      <c r="I7721" t="s">
        <v>150</v>
      </c>
      <c r="J7721" t="s">
        <v>573</v>
      </c>
      <c r="K7721" t="s">
        <v>490</v>
      </c>
      <c r="L7721">
        <v>8001865024</v>
      </c>
      <c r="N7721" t="s">
        <v>1031</v>
      </c>
    </row>
    <row r="7722" spans="3:14">
      <c r="C7722">
        <v>2100300025</v>
      </c>
      <c r="D7722">
        <v>6426000</v>
      </c>
      <c r="E7722" t="s">
        <v>188</v>
      </c>
      <c r="F7722">
        <v>5104010112</v>
      </c>
      <c r="G7722" s="13">
        <v>80250</v>
      </c>
      <c r="I7722" t="s">
        <v>150</v>
      </c>
      <c r="J7722" t="s">
        <v>573</v>
      </c>
      <c r="K7722" t="s">
        <v>490</v>
      </c>
      <c r="L7722">
        <v>8001865026</v>
      </c>
      <c r="N7722" t="s">
        <v>1031</v>
      </c>
    </row>
    <row r="7723" spans="3:14">
      <c r="C7723">
        <v>2100300025</v>
      </c>
      <c r="D7723">
        <v>6426000</v>
      </c>
      <c r="E7723" t="s">
        <v>188</v>
      </c>
      <c r="F7723">
        <v>5104010112</v>
      </c>
      <c r="G7723" s="13">
        <v>17655</v>
      </c>
      <c r="I7723" t="s">
        <v>150</v>
      </c>
      <c r="J7723" t="s">
        <v>818</v>
      </c>
      <c r="K7723" t="s">
        <v>490</v>
      </c>
      <c r="L7723">
        <v>8001837466</v>
      </c>
      <c r="N7723" t="s">
        <v>1039</v>
      </c>
    </row>
    <row r="7724" spans="3:14">
      <c r="C7724">
        <v>2100300025</v>
      </c>
      <c r="D7724">
        <v>6426000</v>
      </c>
      <c r="E7724" t="s">
        <v>188</v>
      </c>
      <c r="F7724">
        <v>5104010112</v>
      </c>
      <c r="G7724" s="13">
        <v>12733</v>
      </c>
      <c r="I7724" t="s">
        <v>150</v>
      </c>
      <c r="J7724" t="s">
        <v>818</v>
      </c>
      <c r="K7724" t="s">
        <v>490</v>
      </c>
      <c r="L7724">
        <v>8001837475</v>
      </c>
      <c r="N7724" t="s">
        <v>1039</v>
      </c>
    </row>
    <row r="7725" spans="3:14">
      <c r="C7725">
        <v>2100300025</v>
      </c>
      <c r="D7725">
        <v>6426000</v>
      </c>
      <c r="E7725" t="s">
        <v>188</v>
      </c>
      <c r="F7725">
        <v>5104010112</v>
      </c>
      <c r="G7725" s="13">
        <v>26750</v>
      </c>
      <c r="I7725" t="s">
        <v>150</v>
      </c>
      <c r="J7725" t="s">
        <v>818</v>
      </c>
      <c r="K7725" t="s">
        <v>490</v>
      </c>
      <c r="L7725">
        <v>8001837392</v>
      </c>
      <c r="N7725" t="s">
        <v>1039</v>
      </c>
    </row>
    <row r="7726" spans="3:14">
      <c r="C7726">
        <v>2100300025</v>
      </c>
      <c r="D7726">
        <v>6426000</v>
      </c>
      <c r="E7726" t="s">
        <v>188</v>
      </c>
      <c r="F7726">
        <v>5104010112</v>
      </c>
      <c r="G7726" s="13">
        <v>-160000</v>
      </c>
      <c r="I7726" t="s">
        <v>150</v>
      </c>
      <c r="J7726" t="s">
        <v>902</v>
      </c>
      <c r="K7726" t="s">
        <v>490</v>
      </c>
      <c r="L7726">
        <v>8000104667</v>
      </c>
      <c r="N7726" t="s">
        <v>1031</v>
      </c>
    </row>
    <row r="7727" spans="3:14">
      <c r="C7727">
        <v>2100300025</v>
      </c>
      <c r="D7727">
        <v>6426000</v>
      </c>
      <c r="E7727" t="s">
        <v>188</v>
      </c>
      <c r="F7727">
        <v>5104010112</v>
      </c>
      <c r="G7727" s="13">
        <v>-12500</v>
      </c>
      <c r="I7727" t="s">
        <v>150</v>
      </c>
      <c r="J7727" t="s">
        <v>902</v>
      </c>
      <c r="K7727" t="s">
        <v>490</v>
      </c>
      <c r="L7727">
        <v>8000017684</v>
      </c>
      <c r="N7727" t="s">
        <v>1031</v>
      </c>
    </row>
    <row r="7728" spans="3:14">
      <c r="C7728">
        <v>2100300025</v>
      </c>
      <c r="D7728">
        <v>6426000</v>
      </c>
      <c r="E7728" t="s">
        <v>188</v>
      </c>
      <c r="F7728">
        <v>5104010112</v>
      </c>
      <c r="G7728" s="13">
        <v>-80250</v>
      </c>
      <c r="I7728" t="s">
        <v>150</v>
      </c>
      <c r="J7728" t="s">
        <v>902</v>
      </c>
      <c r="K7728" t="s">
        <v>490</v>
      </c>
      <c r="L7728">
        <v>8000017974</v>
      </c>
      <c r="N7728" t="s">
        <v>1031</v>
      </c>
    </row>
    <row r="7729" spans="3:14">
      <c r="C7729">
        <v>2100300025</v>
      </c>
      <c r="D7729">
        <v>6426000</v>
      </c>
      <c r="E7729" t="s">
        <v>188</v>
      </c>
      <c r="F7729">
        <v>5104010112</v>
      </c>
      <c r="G7729" s="13">
        <v>-36380</v>
      </c>
      <c r="I7729" t="s">
        <v>150</v>
      </c>
      <c r="J7729" t="s">
        <v>555</v>
      </c>
      <c r="K7729" t="s">
        <v>490</v>
      </c>
      <c r="L7729">
        <v>8000133159</v>
      </c>
      <c r="N7729" t="s">
        <v>1445</v>
      </c>
    </row>
    <row r="7730" spans="3:14">
      <c r="C7730">
        <v>2100300025</v>
      </c>
      <c r="D7730">
        <v>6426000</v>
      </c>
      <c r="E7730" t="s">
        <v>188</v>
      </c>
      <c r="F7730">
        <v>5104010112</v>
      </c>
      <c r="G7730" s="13">
        <v>-238180</v>
      </c>
      <c r="I7730" t="s">
        <v>150</v>
      </c>
      <c r="J7730" t="s">
        <v>902</v>
      </c>
      <c r="K7730" t="s">
        <v>490</v>
      </c>
      <c r="L7730">
        <v>8000044085</v>
      </c>
      <c r="N7730" t="s">
        <v>1037</v>
      </c>
    </row>
    <row r="7731" spans="3:14">
      <c r="C7731">
        <v>2100300025</v>
      </c>
      <c r="D7731">
        <v>6426000</v>
      </c>
      <c r="E7731" t="s">
        <v>188</v>
      </c>
      <c r="F7731">
        <v>5104010112</v>
      </c>
      <c r="G7731" s="13">
        <v>-6000</v>
      </c>
      <c r="I7731" t="s">
        <v>150</v>
      </c>
      <c r="J7731" t="s">
        <v>555</v>
      </c>
      <c r="K7731" t="s">
        <v>490</v>
      </c>
      <c r="L7731">
        <v>8000127035</v>
      </c>
      <c r="N7731" t="s">
        <v>1031</v>
      </c>
    </row>
    <row r="7732" spans="3:14">
      <c r="C7732">
        <v>2100300025</v>
      </c>
      <c r="D7732">
        <v>6426000</v>
      </c>
      <c r="E7732" t="s">
        <v>188</v>
      </c>
      <c r="F7732">
        <v>5104010112</v>
      </c>
      <c r="G7732" s="13">
        <v>-6000</v>
      </c>
      <c r="I7732" t="s">
        <v>150</v>
      </c>
      <c r="J7732" t="s">
        <v>908</v>
      </c>
      <c r="K7732" t="s">
        <v>490</v>
      </c>
      <c r="L7732">
        <v>8000121462</v>
      </c>
      <c r="N7732" t="s">
        <v>1031</v>
      </c>
    </row>
    <row r="7733" spans="3:14">
      <c r="C7733">
        <v>2100300025</v>
      </c>
      <c r="D7733">
        <v>6426000</v>
      </c>
      <c r="E7733" t="s">
        <v>188</v>
      </c>
      <c r="F7733">
        <v>5104010112</v>
      </c>
      <c r="G7733" s="13">
        <v>13100</v>
      </c>
      <c r="I7733" t="s">
        <v>150</v>
      </c>
      <c r="J7733" t="s">
        <v>907</v>
      </c>
      <c r="K7733" t="s">
        <v>490</v>
      </c>
      <c r="L7733">
        <v>8000067708</v>
      </c>
      <c r="N7733" t="s">
        <v>1042</v>
      </c>
    </row>
    <row r="7734" spans="3:14">
      <c r="C7734">
        <v>2100300025</v>
      </c>
      <c r="D7734">
        <v>6426000</v>
      </c>
      <c r="E7734" t="s">
        <v>188</v>
      </c>
      <c r="F7734">
        <v>5104010112</v>
      </c>
      <c r="G7734" s="13">
        <v>6000</v>
      </c>
      <c r="I7734" t="s">
        <v>150</v>
      </c>
      <c r="J7734" t="s">
        <v>908</v>
      </c>
      <c r="K7734" t="s">
        <v>490</v>
      </c>
      <c r="L7734">
        <v>8000110646</v>
      </c>
      <c r="N7734" t="s">
        <v>1031</v>
      </c>
    </row>
    <row r="7735" spans="3:14">
      <c r="C7735">
        <v>2100300025</v>
      </c>
      <c r="D7735">
        <v>6426000</v>
      </c>
      <c r="E7735" t="s">
        <v>188</v>
      </c>
      <c r="F7735">
        <v>5104010112</v>
      </c>
      <c r="G7735" s="13">
        <v>101400</v>
      </c>
      <c r="I7735" t="s">
        <v>150</v>
      </c>
      <c r="J7735" t="s">
        <v>902</v>
      </c>
      <c r="K7735" t="s">
        <v>490</v>
      </c>
      <c r="L7735">
        <v>8000021536</v>
      </c>
      <c r="N7735" t="s">
        <v>1038</v>
      </c>
    </row>
    <row r="7736" spans="3:14">
      <c r="C7736">
        <v>2100300025</v>
      </c>
      <c r="D7736">
        <v>6426000</v>
      </c>
      <c r="E7736" t="s">
        <v>188</v>
      </c>
      <c r="F7736">
        <v>5104010112</v>
      </c>
      <c r="G7736" s="13">
        <v>12500</v>
      </c>
      <c r="I7736" t="s">
        <v>150</v>
      </c>
      <c r="J7736" t="s">
        <v>902</v>
      </c>
      <c r="K7736" t="s">
        <v>490</v>
      </c>
      <c r="L7736">
        <v>8000018507</v>
      </c>
      <c r="N7736" t="s">
        <v>1031</v>
      </c>
    </row>
    <row r="7737" spans="3:14">
      <c r="C7737">
        <v>2100300025</v>
      </c>
      <c r="D7737">
        <v>6426000</v>
      </c>
      <c r="E7737" t="s">
        <v>188</v>
      </c>
      <c r="F7737">
        <v>5104010112</v>
      </c>
      <c r="G7737" s="13">
        <v>12600</v>
      </c>
      <c r="I7737" t="s">
        <v>150</v>
      </c>
      <c r="J7737" t="s">
        <v>821</v>
      </c>
      <c r="K7737" t="s">
        <v>490</v>
      </c>
      <c r="L7737">
        <v>8000136593</v>
      </c>
      <c r="N7737" t="s">
        <v>1031</v>
      </c>
    </row>
    <row r="7738" spans="3:14">
      <c r="C7738">
        <v>2100300025</v>
      </c>
      <c r="D7738">
        <v>6426000</v>
      </c>
      <c r="E7738" t="s">
        <v>188</v>
      </c>
      <c r="F7738">
        <v>5104010112</v>
      </c>
      <c r="G7738" s="13">
        <v>238180</v>
      </c>
      <c r="I7738" t="s">
        <v>150</v>
      </c>
      <c r="J7738" t="s">
        <v>902</v>
      </c>
      <c r="K7738" t="s">
        <v>490</v>
      </c>
      <c r="L7738">
        <v>8000045717</v>
      </c>
      <c r="N7738" t="s">
        <v>1037</v>
      </c>
    </row>
    <row r="7739" spans="3:14">
      <c r="C7739">
        <v>2100300025</v>
      </c>
      <c r="D7739">
        <v>6426000</v>
      </c>
      <c r="E7739" t="s">
        <v>188</v>
      </c>
      <c r="F7739">
        <v>5104010112</v>
      </c>
      <c r="G7739" s="13">
        <v>6000</v>
      </c>
      <c r="I7739" t="s">
        <v>150</v>
      </c>
      <c r="J7739" t="s">
        <v>908</v>
      </c>
      <c r="K7739" t="s">
        <v>490</v>
      </c>
      <c r="L7739">
        <v>8000121296</v>
      </c>
      <c r="N7739" t="s">
        <v>1031</v>
      </c>
    </row>
    <row r="7740" spans="3:14">
      <c r="C7740">
        <v>2100300025</v>
      </c>
      <c r="D7740">
        <v>6426000</v>
      </c>
      <c r="E7740" t="s">
        <v>188</v>
      </c>
      <c r="F7740">
        <v>5104010112</v>
      </c>
      <c r="G7740" s="13">
        <v>6000</v>
      </c>
      <c r="I7740" t="s">
        <v>150</v>
      </c>
      <c r="J7740" t="s">
        <v>555</v>
      </c>
      <c r="K7740" t="s">
        <v>490</v>
      </c>
      <c r="L7740">
        <v>8000119555</v>
      </c>
      <c r="N7740" t="s">
        <v>1031</v>
      </c>
    </row>
    <row r="7741" spans="3:14">
      <c r="C7741">
        <v>2100300025</v>
      </c>
      <c r="D7741">
        <v>6426000</v>
      </c>
      <c r="E7741" t="s">
        <v>188</v>
      </c>
      <c r="F7741">
        <v>5104010112</v>
      </c>
      <c r="G7741" s="13">
        <v>-6955</v>
      </c>
      <c r="I7741" t="s">
        <v>150</v>
      </c>
      <c r="J7741" t="s">
        <v>916</v>
      </c>
      <c r="K7741" t="s">
        <v>490</v>
      </c>
      <c r="L7741">
        <v>8000217732</v>
      </c>
      <c r="N7741" t="s">
        <v>1439</v>
      </c>
    </row>
    <row r="7742" spans="3:14">
      <c r="C7742">
        <v>2100300025</v>
      </c>
      <c r="D7742">
        <v>6426000</v>
      </c>
      <c r="E7742" t="s">
        <v>188</v>
      </c>
      <c r="F7742">
        <v>5104010112</v>
      </c>
      <c r="G7742" s="13">
        <v>-12397</v>
      </c>
      <c r="I7742" t="s">
        <v>150</v>
      </c>
      <c r="J7742" t="s">
        <v>799</v>
      </c>
      <c r="K7742" t="s">
        <v>490</v>
      </c>
      <c r="L7742">
        <v>8000165712</v>
      </c>
      <c r="N7742" t="s">
        <v>1031</v>
      </c>
    </row>
    <row r="7743" spans="3:14">
      <c r="C7743">
        <v>2100300025</v>
      </c>
      <c r="D7743">
        <v>6426000</v>
      </c>
      <c r="E7743" t="s">
        <v>188</v>
      </c>
      <c r="F7743">
        <v>5104010112</v>
      </c>
      <c r="G7743" s="13">
        <v>-28000</v>
      </c>
      <c r="I7743" t="s">
        <v>150</v>
      </c>
      <c r="J7743" t="s">
        <v>799</v>
      </c>
      <c r="K7743" t="s">
        <v>490</v>
      </c>
      <c r="L7743">
        <v>8000164724</v>
      </c>
      <c r="N7743" t="s">
        <v>1031</v>
      </c>
    </row>
    <row r="7744" spans="3:14">
      <c r="C7744">
        <v>2100300025</v>
      </c>
      <c r="D7744">
        <v>6426000</v>
      </c>
      <c r="E7744" t="s">
        <v>188</v>
      </c>
      <c r="F7744">
        <v>5104010112</v>
      </c>
      <c r="G7744" s="13">
        <v>805000</v>
      </c>
      <c r="I7744" t="s">
        <v>150</v>
      </c>
      <c r="J7744" t="s">
        <v>799</v>
      </c>
      <c r="K7744" t="s">
        <v>490</v>
      </c>
      <c r="L7744">
        <v>8000147341</v>
      </c>
      <c r="N7744" t="s">
        <v>1031</v>
      </c>
    </row>
    <row r="7745" spans="3:14">
      <c r="C7745">
        <v>2100300025</v>
      </c>
      <c r="D7745">
        <v>6426000</v>
      </c>
      <c r="E7745" t="s">
        <v>188</v>
      </c>
      <c r="F7745">
        <v>5104010112</v>
      </c>
      <c r="G7745" s="13">
        <v>1353600</v>
      </c>
      <c r="I7745" t="s">
        <v>150</v>
      </c>
      <c r="J7745" t="s">
        <v>799</v>
      </c>
      <c r="K7745" t="s">
        <v>490</v>
      </c>
      <c r="L7745">
        <v>8000146726</v>
      </c>
      <c r="N7745" t="s">
        <v>1031</v>
      </c>
    </row>
    <row r="7746" spans="3:14">
      <c r="C7746">
        <v>2100300025</v>
      </c>
      <c r="D7746">
        <v>6426000</v>
      </c>
      <c r="E7746" t="s">
        <v>188</v>
      </c>
      <c r="F7746">
        <v>5104010112</v>
      </c>
      <c r="G7746" s="13">
        <v>5500</v>
      </c>
      <c r="I7746" t="s">
        <v>150</v>
      </c>
      <c r="J7746" t="s">
        <v>916</v>
      </c>
      <c r="K7746" t="s">
        <v>490</v>
      </c>
      <c r="L7746">
        <v>8000191416</v>
      </c>
      <c r="N7746" t="s">
        <v>1039</v>
      </c>
    </row>
    <row r="7747" spans="3:14">
      <c r="C7747">
        <v>2100300025</v>
      </c>
      <c r="D7747">
        <v>6426000</v>
      </c>
      <c r="E7747" t="s">
        <v>188</v>
      </c>
      <c r="F7747">
        <v>5104010112</v>
      </c>
      <c r="G7747" s="13">
        <v>26100</v>
      </c>
      <c r="I7747" t="s">
        <v>150</v>
      </c>
      <c r="J7747" t="s">
        <v>799</v>
      </c>
      <c r="K7747" t="s">
        <v>490</v>
      </c>
      <c r="L7747">
        <v>8000273081</v>
      </c>
      <c r="N7747" t="s">
        <v>1031</v>
      </c>
    </row>
    <row r="7748" spans="3:14">
      <c r="C7748">
        <v>2100300025</v>
      </c>
      <c r="D7748">
        <v>6426000</v>
      </c>
      <c r="E7748" t="s">
        <v>188</v>
      </c>
      <c r="F7748">
        <v>5104010112</v>
      </c>
      <c r="G7748" s="13">
        <v>65802</v>
      </c>
      <c r="I7748" t="s">
        <v>150</v>
      </c>
      <c r="J7748" t="s">
        <v>826</v>
      </c>
      <c r="K7748" t="s">
        <v>490</v>
      </c>
      <c r="L7748">
        <v>8000234439</v>
      </c>
      <c r="N7748" t="s">
        <v>1031</v>
      </c>
    </row>
    <row r="7749" spans="3:14">
      <c r="C7749">
        <v>2100300025</v>
      </c>
      <c r="D7749">
        <v>6426000</v>
      </c>
      <c r="E7749" t="s">
        <v>188</v>
      </c>
      <c r="F7749">
        <v>5104010112</v>
      </c>
      <c r="G7749" s="13">
        <v>28000</v>
      </c>
      <c r="I7749" t="s">
        <v>150</v>
      </c>
      <c r="J7749" t="s">
        <v>799</v>
      </c>
      <c r="K7749" t="s">
        <v>490</v>
      </c>
      <c r="L7749">
        <v>8000149835</v>
      </c>
      <c r="N7749" t="s">
        <v>1031</v>
      </c>
    </row>
    <row r="7750" spans="3:14">
      <c r="C7750">
        <v>2100300025</v>
      </c>
      <c r="D7750">
        <v>6426000</v>
      </c>
      <c r="E7750" t="s">
        <v>188</v>
      </c>
      <c r="F7750">
        <v>5104010112</v>
      </c>
      <c r="G7750" s="13">
        <v>12397</v>
      </c>
      <c r="I7750" t="s">
        <v>150</v>
      </c>
      <c r="J7750" t="s">
        <v>799</v>
      </c>
      <c r="K7750" t="s">
        <v>490</v>
      </c>
      <c r="L7750">
        <v>8000154730</v>
      </c>
      <c r="N7750" t="s">
        <v>1031</v>
      </c>
    </row>
    <row r="7751" spans="3:14">
      <c r="C7751">
        <v>2100300025</v>
      </c>
      <c r="D7751">
        <v>6426000</v>
      </c>
      <c r="E7751" t="s">
        <v>188</v>
      </c>
      <c r="F7751">
        <v>5104010112</v>
      </c>
      <c r="G7751" s="13">
        <v>-327000</v>
      </c>
      <c r="I7751" t="s">
        <v>150</v>
      </c>
      <c r="J7751" t="s">
        <v>929</v>
      </c>
      <c r="K7751" t="s">
        <v>490</v>
      </c>
      <c r="L7751">
        <v>8000417093</v>
      </c>
      <c r="N7751" t="s">
        <v>1031</v>
      </c>
    </row>
    <row r="7752" spans="3:14">
      <c r="C7752">
        <v>2100300025</v>
      </c>
      <c r="D7752">
        <v>6426000</v>
      </c>
      <c r="E7752" t="s">
        <v>188</v>
      </c>
      <c r="F7752">
        <v>5104010112</v>
      </c>
      <c r="G7752" s="13">
        <v>19950</v>
      </c>
      <c r="I7752" t="s">
        <v>150</v>
      </c>
      <c r="J7752" t="s">
        <v>579</v>
      </c>
      <c r="K7752" t="s">
        <v>490</v>
      </c>
      <c r="L7752">
        <v>8000497938</v>
      </c>
      <c r="N7752" t="s">
        <v>1031</v>
      </c>
    </row>
    <row r="7753" spans="3:14">
      <c r="C7753">
        <v>2100300025</v>
      </c>
      <c r="D7753">
        <v>6426000</v>
      </c>
      <c r="E7753" t="s">
        <v>188</v>
      </c>
      <c r="F7753">
        <v>5104010112</v>
      </c>
      <c r="G7753" s="13">
        <v>179644</v>
      </c>
      <c r="I7753" t="s">
        <v>150</v>
      </c>
      <c r="J7753" t="s">
        <v>832</v>
      </c>
      <c r="K7753" t="s">
        <v>490</v>
      </c>
      <c r="L7753">
        <v>8000452482</v>
      </c>
      <c r="N7753" t="s">
        <v>1031</v>
      </c>
    </row>
    <row r="7754" spans="3:14">
      <c r="C7754">
        <v>2100300025</v>
      </c>
      <c r="D7754">
        <v>6426000</v>
      </c>
      <c r="E7754" t="s">
        <v>188</v>
      </c>
      <c r="F7754">
        <v>5104010112</v>
      </c>
      <c r="G7754" s="13">
        <v>45261</v>
      </c>
      <c r="I7754" t="s">
        <v>150</v>
      </c>
      <c r="J7754" t="s">
        <v>838</v>
      </c>
      <c r="K7754" t="s">
        <v>490</v>
      </c>
      <c r="L7754">
        <v>8000630183</v>
      </c>
      <c r="N7754" t="s">
        <v>1039</v>
      </c>
    </row>
    <row r="7755" spans="3:14">
      <c r="C7755">
        <v>2100300025</v>
      </c>
      <c r="D7755">
        <v>6426000</v>
      </c>
      <c r="E7755" t="s">
        <v>188</v>
      </c>
      <c r="F7755">
        <v>5104010112</v>
      </c>
      <c r="G7755" s="13">
        <v>-13300</v>
      </c>
      <c r="I7755" t="s">
        <v>150</v>
      </c>
      <c r="J7755" t="s">
        <v>583</v>
      </c>
      <c r="K7755" t="s">
        <v>490</v>
      </c>
      <c r="L7755">
        <v>8000798331</v>
      </c>
      <c r="N7755" t="s">
        <v>1031</v>
      </c>
    </row>
    <row r="7756" spans="3:14">
      <c r="C7756">
        <v>2100300025</v>
      </c>
      <c r="D7756">
        <v>6426000</v>
      </c>
      <c r="E7756" t="s">
        <v>188</v>
      </c>
      <c r="F7756">
        <v>5104010112</v>
      </c>
      <c r="G7756" s="13">
        <v>238180</v>
      </c>
      <c r="I7756" t="s">
        <v>150</v>
      </c>
      <c r="J7756" t="s">
        <v>583</v>
      </c>
      <c r="K7756" t="s">
        <v>490</v>
      </c>
      <c r="L7756">
        <v>8000780108</v>
      </c>
      <c r="N7756" t="s">
        <v>1031</v>
      </c>
    </row>
    <row r="7757" spans="3:14">
      <c r="C7757">
        <v>2100300025</v>
      </c>
      <c r="D7757">
        <v>6426000</v>
      </c>
      <c r="E7757" t="s">
        <v>188</v>
      </c>
      <c r="F7757">
        <v>5104010112</v>
      </c>
      <c r="G7757" s="13">
        <v>-210000</v>
      </c>
      <c r="I7757" t="s">
        <v>150</v>
      </c>
      <c r="J7757" t="s">
        <v>829</v>
      </c>
      <c r="K7757" t="s">
        <v>490</v>
      </c>
      <c r="L7757">
        <v>8000452673</v>
      </c>
      <c r="N7757" t="s">
        <v>1031</v>
      </c>
    </row>
    <row r="7758" spans="3:14">
      <c r="C7758">
        <v>2100300025</v>
      </c>
      <c r="D7758">
        <v>6426000</v>
      </c>
      <c r="E7758" t="s">
        <v>188</v>
      </c>
      <c r="F7758">
        <v>5104010112</v>
      </c>
      <c r="G7758" s="13">
        <v>238180</v>
      </c>
      <c r="I7758" t="s">
        <v>150</v>
      </c>
      <c r="J7758" t="s">
        <v>902</v>
      </c>
      <c r="K7758" t="s">
        <v>490</v>
      </c>
      <c r="L7758">
        <v>8000020937</v>
      </c>
      <c r="N7758" t="s">
        <v>1037</v>
      </c>
    </row>
    <row r="7759" spans="3:14">
      <c r="C7759">
        <v>2100300025</v>
      </c>
      <c r="D7759">
        <v>6426000</v>
      </c>
      <c r="E7759" t="s">
        <v>188</v>
      </c>
      <c r="F7759">
        <v>5104010112</v>
      </c>
      <c r="G7759" s="13">
        <v>35000</v>
      </c>
      <c r="I7759" t="s">
        <v>150</v>
      </c>
      <c r="J7759" t="s">
        <v>902</v>
      </c>
      <c r="K7759" t="s">
        <v>490</v>
      </c>
      <c r="L7759">
        <v>8000106470</v>
      </c>
      <c r="N7759" t="s">
        <v>1031</v>
      </c>
    </row>
    <row r="7760" spans="3:14">
      <c r="C7760">
        <v>2100300025</v>
      </c>
      <c r="D7760">
        <v>6426000</v>
      </c>
      <c r="E7760" t="s">
        <v>188</v>
      </c>
      <c r="F7760">
        <v>5104010112</v>
      </c>
      <c r="G7760" s="13">
        <v>35000</v>
      </c>
      <c r="I7760" t="s">
        <v>150</v>
      </c>
      <c r="J7760" t="s">
        <v>902</v>
      </c>
      <c r="K7760" t="s">
        <v>490</v>
      </c>
      <c r="L7760">
        <v>8000105092</v>
      </c>
      <c r="N7760" t="s">
        <v>1031</v>
      </c>
    </row>
    <row r="7761" spans="3:14">
      <c r="C7761">
        <v>2100300025</v>
      </c>
      <c r="D7761">
        <v>6426000</v>
      </c>
      <c r="E7761" t="s">
        <v>188</v>
      </c>
      <c r="F7761">
        <v>5104010112</v>
      </c>
      <c r="G7761" s="13">
        <v>35095</v>
      </c>
      <c r="I7761" t="s">
        <v>150</v>
      </c>
      <c r="J7761" t="s">
        <v>820</v>
      </c>
      <c r="K7761" t="s">
        <v>490</v>
      </c>
      <c r="L7761">
        <v>8000188573</v>
      </c>
      <c r="N7761" t="s">
        <v>1042</v>
      </c>
    </row>
    <row r="7762" spans="3:14">
      <c r="C7762">
        <v>2100300025</v>
      </c>
      <c r="D7762">
        <v>6426000</v>
      </c>
      <c r="E7762" t="s">
        <v>188</v>
      </c>
      <c r="F7762">
        <v>5104010112</v>
      </c>
      <c r="G7762" s="13">
        <v>133250</v>
      </c>
      <c r="I7762" t="s">
        <v>150</v>
      </c>
      <c r="J7762" t="s">
        <v>902</v>
      </c>
      <c r="K7762" t="s">
        <v>490</v>
      </c>
      <c r="L7762">
        <v>8000016885</v>
      </c>
      <c r="N7762" t="s">
        <v>1035</v>
      </c>
    </row>
    <row r="7763" spans="3:14">
      <c r="C7763">
        <v>2100300025</v>
      </c>
      <c r="D7763">
        <v>6426000</v>
      </c>
      <c r="E7763" t="s">
        <v>188</v>
      </c>
      <c r="F7763">
        <v>5104010112</v>
      </c>
      <c r="G7763" s="13">
        <v>80250</v>
      </c>
      <c r="I7763" t="s">
        <v>150</v>
      </c>
      <c r="J7763" t="s">
        <v>902</v>
      </c>
      <c r="K7763" t="s">
        <v>490</v>
      </c>
      <c r="L7763">
        <v>8000017737</v>
      </c>
      <c r="N7763" t="s">
        <v>1031</v>
      </c>
    </row>
    <row r="7764" spans="3:14">
      <c r="C7764">
        <v>2100300025</v>
      </c>
      <c r="D7764">
        <v>6426000</v>
      </c>
      <c r="E7764" t="s">
        <v>188</v>
      </c>
      <c r="F7764">
        <v>5104010112</v>
      </c>
      <c r="G7764" s="13">
        <v>7300</v>
      </c>
      <c r="I7764" t="s">
        <v>150</v>
      </c>
      <c r="J7764" t="s">
        <v>908</v>
      </c>
      <c r="K7764" t="s">
        <v>490</v>
      </c>
      <c r="L7764">
        <v>8000096320</v>
      </c>
      <c r="N7764" t="s">
        <v>1031</v>
      </c>
    </row>
    <row r="7765" spans="3:14">
      <c r="C7765">
        <v>2100300025</v>
      </c>
      <c r="D7765">
        <v>6426000</v>
      </c>
      <c r="E7765" t="s">
        <v>188</v>
      </c>
      <c r="F7765">
        <v>5104010112</v>
      </c>
      <c r="G7765" s="13">
        <v>7200</v>
      </c>
      <c r="I7765" t="s">
        <v>150</v>
      </c>
      <c r="J7765" t="s">
        <v>908</v>
      </c>
      <c r="K7765" t="s">
        <v>490</v>
      </c>
      <c r="L7765">
        <v>8000096354</v>
      </c>
      <c r="N7765" t="s">
        <v>1031</v>
      </c>
    </row>
    <row r="7766" spans="3:14">
      <c r="C7766">
        <v>2100300025</v>
      </c>
      <c r="D7766">
        <v>6426000</v>
      </c>
      <c r="E7766" t="s">
        <v>188</v>
      </c>
      <c r="F7766">
        <v>5104010112</v>
      </c>
      <c r="G7766" s="13">
        <v>36380</v>
      </c>
      <c r="I7766" t="s">
        <v>150</v>
      </c>
      <c r="J7766" t="s">
        <v>908</v>
      </c>
      <c r="K7766" t="s">
        <v>490</v>
      </c>
      <c r="L7766">
        <v>8000133170</v>
      </c>
      <c r="N7766" t="s">
        <v>1445</v>
      </c>
    </row>
    <row r="7767" spans="3:14">
      <c r="C7767">
        <v>2100300025</v>
      </c>
      <c r="D7767">
        <v>6426000</v>
      </c>
      <c r="E7767" t="s">
        <v>188</v>
      </c>
      <c r="F7767">
        <v>5104010112</v>
      </c>
      <c r="G7767" s="13">
        <v>36380</v>
      </c>
      <c r="I7767" t="s">
        <v>150</v>
      </c>
      <c r="J7767" t="s">
        <v>555</v>
      </c>
      <c r="K7767" t="s">
        <v>490</v>
      </c>
      <c r="L7767">
        <v>8000126571</v>
      </c>
      <c r="N7767" t="s">
        <v>1445</v>
      </c>
    </row>
    <row r="7768" spans="3:14">
      <c r="C7768">
        <v>2100300025</v>
      </c>
      <c r="D7768">
        <v>6426000</v>
      </c>
      <c r="E7768" t="s">
        <v>188</v>
      </c>
      <c r="F7768">
        <v>5104010112</v>
      </c>
      <c r="G7768" s="13">
        <v>6000</v>
      </c>
      <c r="I7768" t="s">
        <v>150</v>
      </c>
      <c r="J7768" t="s">
        <v>555</v>
      </c>
      <c r="K7768" t="s">
        <v>490</v>
      </c>
      <c r="L7768">
        <v>8000127215</v>
      </c>
      <c r="N7768" t="s">
        <v>1031</v>
      </c>
    </row>
    <row r="7769" spans="3:14">
      <c r="C7769">
        <v>2100300025</v>
      </c>
      <c r="D7769">
        <v>6426000</v>
      </c>
      <c r="E7769" t="s">
        <v>188</v>
      </c>
      <c r="F7769">
        <v>5104010112</v>
      </c>
      <c r="G7769" s="13">
        <v>52965</v>
      </c>
      <c r="I7769" t="s">
        <v>150</v>
      </c>
      <c r="J7769" t="s">
        <v>902</v>
      </c>
      <c r="K7769" t="s">
        <v>490</v>
      </c>
      <c r="L7769">
        <v>8000211665</v>
      </c>
      <c r="N7769" t="s">
        <v>1031</v>
      </c>
    </row>
    <row r="7770" spans="3:14">
      <c r="C7770">
        <v>2100300025</v>
      </c>
      <c r="D7770">
        <v>6426000</v>
      </c>
      <c r="E7770" t="s">
        <v>188</v>
      </c>
      <c r="F7770">
        <v>5104010112</v>
      </c>
      <c r="G7770" s="13">
        <v>-131929.93</v>
      </c>
      <c r="I7770" t="s">
        <v>150</v>
      </c>
      <c r="J7770" t="s">
        <v>1189</v>
      </c>
      <c r="K7770" t="s">
        <v>490</v>
      </c>
      <c r="L7770">
        <v>8000205006</v>
      </c>
      <c r="N7770" t="s">
        <v>1031</v>
      </c>
    </row>
    <row r="7771" spans="3:14">
      <c r="C7771">
        <v>2100300025</v>
      </c>
      <c r="D7771">
        <v>6426000</v>
      </c>
      <c r="E7771" t="s">
        <v>188</v>
      </c>
      <c r="F7771">
        <v>5104010112</v>
      </c>
      <c r="G7771" s="13">
        <v>-2266666</v>
      </c>
      <c r="I7771" t="s">
        <v>150</v>
      </c>
      <c r="J7771" t="s">
        <v>799</v>
      </c>
      <c r="K7771" t="s">
        <v>490</v>
      </c>
      <c r="L7771">
        <v>8000164203</v>
      </c>
      <c r="N7771" t="s">
        <v>1031</v>
      </c>
    </row>
    <row r="7772" spans="3:14">
      <c r="C7772">
        <v>2100300025</v>
      </c>
      <c r="D7772">
        <v>6426000</v>
      </c>
      <c r="E7772" t="s">
        <v>188</v>
      </c>
      <c r="F7772">
        <v>5104010112</v>
      </c>
      <c r="G7772" s="13">
        <v>-805000</v>
      </c>
      <c r="I7772" t="s">
        <v>150</v>
      </c>
      <c r="J7772" t="s">
        <v>799</v>
      </c>
      <c r="K7772" t="s">
        <v>490</v>
      </c>
      <c r="L7772">
        <v>8000164221</v>
      </c>
      <c r="N7772" t="s">
        <v>1031</v>
      </c>
    </row>
    <row r="7773" spans="3:14">
      <c r="C7773">
        <v>2100300025</v>
      </c>
      <c r="D7773">
        <v>6426000</v>
      </c>
      <c r="E7773" t="s">
        <v>188</v>
      </c>
      <c r="F7773">
        <v>5104010112</v>
      </c>
      <c r="G7773" s="13">
        <v>-1353600</v>
      </c>
      <c r="I7773" t="s">
        <v>150</v>
      </c>
      <c r="J7773" t="s">
        <v>799</v>
      </c>
      <c r="K7773" t="s">
        <v>490</v>
      </c>
      <c r="L7773">
        <v>8000164709</v>
      </c>
      <c r="N7773" t="s">
        <v>1031</v>
      </c>
    </row>
    <row r="7774" spans="3:14">
      <c r="C7774">
        <v>2100300025</v>
      </c>
      <c r="D7774">
        <v>6426000</v>
      </c>
      <c r="E7774" t="s">
        <v>188</v>
      </c>
      <c r="F7774">
        <v>5104010112</v>
      </c>
      <c r="G7774" s="13">
        <v>-633333</v>
      </c>
      <c r="I7774" t="s">
        <v>150</v>
      </c>
      <c r="J7774" t="s">
        <v>799</v>
      </c>
      <c r="K7774" t="s">
        <v>490</v>
      </c>
      <c r="L7774">
        <v>8000164163</v>
      </c>
      <c r="N7774" t="s">
        <v>1031</v>
      </c>
    </row>
    <row r="7775" spans="3:14">
      <c r="C7775">
        <v>2100300025</v>
      </c>
      <c r="D7775">
        <v>6426000</v>
      </c>
      <c r="E7775" t="s">
        <v>188</v>
      </c>
      <c r="F7775">
        <v>5104010112</v>
      </c>
      <c r="G7775" s="13">
        <v>14701.8</v>
      </c>
      <c r="I7775" t="s">
        <v>150</v>
      </c>
      <c r="J7775" t="s">
        <v>799</v>
      </c>
      <c r="K7775" t="s">
        <v>490</v>
      </c>
      <c r="L7775">
        <v>8000164159</v>
      </c>
      <c r="N7775" t="s">
        <v>1042</v>
      </c>
    </row>
    <row r="7776" spans="3:14">
      <c r="C7776">
        <v>2100300025</v>
      </c>
      <c r="D7776">
        <v>6426000</v>
      </c>
      <c r="E7776" t="s">
        <v>188</v>
      </c>
      <c r="F7776">
        <v>5104010112</v>
      </c>
      <c r="G7776" s="13">
        <v>-56000</v>
      </c>
      <c r="I7776" t="s">
        <v>150</v>
      </c>
      <c r="J7776" t="s">
        <v>799</v>
      </c>
      <c r="K7776" t="s">
        <v>490</v>
      </c>
      <c r="L7776">
        <v>8000164496</v>
      </c>
      <c r="N7776" t="s">
        <v>1031</v>
      </c>
    </row>
    <row r="7777" spans="3:14">
      <c r="C7777">
        <v>2100300025</v>
      </c>
      <c r="D7777">
        <v>6426000</v>
      </c>
      <c r="E7777" t="s">
        <v>188</v>
      </c>
      <c r="F7777">
        <v>5104010112</v>
      </c>
      <c r="G7777" s="13">
        <v>133250</v>
      </c>
      <c r="I7777" t="s">
        <v>150</v>
      </c>
      <c r="J7777" t="s">
        <v>799</v>
      </c>
      <c r="K7777" t="s">
        <v>490</v>
      </c>
      <c r="L7777">
        <v>8000164498</v>
      </c>
      <c r="N7777" t="s">
        <v>1035</v>
      </c>
    </row>
    <row r="7778" spans="3:14">
      <c r="C7778">
        <v>2100300025</v>
      </c>
      <c r="D7778">
        <v>6426000</v>
      </c>
      <c r="E7778" t="s">
        <v>188</v>
      </c>
      <c r="F7778">
        <v>5104010112</v>
      </c>
      <c r="G7778" s="13">
        <v>-119840</v>
      </c>
      <c r="I7778" t="s">
        <v>150</v>
      </c>
      <c r="J7778" t="s">
        <v>916</v>
      </c>
      <c r="K7778" t="s">
        <v>490</v>
      </c>
      <c r="L7778">
        <v>8000299894</v>
      </c>
      <c r="N7778" t="s">
        <v>1439</v>
      </c>
    </row>
    <row r="7779" spans="3:14">
      <c r="C7779">
        <v>2100300025</v>
      </c>
      <c r="D7779">
        <v>6426000</v>
      </c>
      <c r="E7779" t="s">
        <v>188</v>
      </c>
      <c r="F7779">
        <v>5104010112</v>
      </c>
      <c r="G7779" s="13">
        <v>-52965</v>
      </c>
      <c r="I7779" t="s">
        <v>150</v>
      </c>
      <c r="J7779" t="s">
        <v>1185</v>
      </c>
      <c r="K7779" t="s">
        <v>490</v>
      </c>
      <c r="L7779">
        <v>8000234451</v>
      </c>
      <c r="N7779" t="s">
        <v>1031</v>
      </c>
    </row>
    <row r="7780" spans="3:14">
      <c r="C7780">
        <v>2100300025</v>
      </c>
      <c r="D7780">
        <v>6426000</v>
      </c>
      <c r="E7780" t="s">
        <v>188</v>
      </c>
      <c r="F7780">
        <v>5104010112</v>
      </c>
      <c r="G7780" s="13">
        <v>-145000</v>
      </c>
      <c r="I7780" t="s">
        <v>150</v>
      </c>
      <c r="J7780" t="s">
        <v>918</v>
      </c>
      <c r="K7780" t="s">
        <v>490</v>
      </c>
      <c r="L7780">
        <v>8000285207</v>
      </c>
      <c r="N7780" t="s">
        <v>1031</v>
      </c>
    </row>
    <row r="7781" spans="3:14">
      <c r="C7781">
        <v>2100300025</v>
      </c>
      <c r="D7781">
        <v>6426000</v>
      </c>
      <c r="E7781" t="s">
        <v>188</v>
      </c>
      <c r="F7781">
        <v>5104010112</v>
      </c>
      <c r="G7781" s="13">
        <v>131929.93</v>
      </c>
      <c r="I7781" t="s">
        <v>150</v>
      </c>
      <c r="J7781" t="s">
        <v>1189</v>
      </c>
      <c r="K7781" t="s">
        <v>490</v>
      </c>
      <c r="L7781">
        <v>8000195700</v>
      </c>
      <c r="N7781" t="s">
        <v>1031</v>
      </c>
    </row>
    <row r="7782" spans="3:14">
      <c r="C7782">
        <v>2100300025</v>
      </c>
      <c r="D7782">
        <v>6426000</v>
      </c>
      <c r="E7782" t="s">
        <v>188</v>
      </c>
      <c r="F7782">
        <v>5104010112</v>
      </c>
      <c r="G7782" s="13">
        <v>2266666</v>
      </c>
      <c r="I7782" t="s">
        <v>150</v>
      </c>
      <c r="J7782" t="s">
        <v>799</v>
      </c>
      <c r="K7782" t="s">
        <v>490</v>
      </c>
      <c r="L7782">
        <v>8000147310</v>
      </c>
      <c r="N7782" t="s">
        <v>1031</v>
      </c>
    </row>
    <row r="7783" spans="3:14">
      <c r="C7783">
        <v>2100300025</v>
      </c>
      <c r="D7783">
        <v>6426000</v>
      </c>
      <c r="E7783" t="s">
        <v>188</v>
      </c>
      <c r="F7783">
        <v>5104010112</v>
      </c>
      <c r="G7783" s="13">
        <v>6955</v>
      </c>
      <c r="I7783" t="s">
        <v>150</v>
      </c>
      <c r="J7783" t="s">
        <v>916</v>
      </c>
      <c r="K7783" t="s">
        <v>490</v>
      </c>
      <c r="L7783">
        <v>8000190054</v>
      </c>
      <c r="N7783" t="s">
        <v>1439</v>
      </c>
    </row>
    <row r="7784" spans="3:14">
      <c r="C7784">
        <v>2100300025</v>
      </c>
      <c r="D7784">
        <v>6426000</v>
      </c>
      <c r="E7784" t="s">
        <v>188</v>
      </c>
      <c r="F7784">
        <v>5104010112</v>
      </c>
      <c r="G7784" s="13">
        <v>119840</v>
      </c>
      <c r="I7784" t="s">
        <v>150</v>
      </c>
      <c r="J7784" t="s">
        <v>916</v>
      </c>
      <c r="K7784" t="s">
        <v>490</v>
      </c>
      <c r="L7784">
        <v>8000255929</v>
      </c>
      <c r="N7784" t="s">
        <v>1439</v>
      </c>
    </row>
    <row r="7785" spans="3:14">
      <c r="C7785">
        <v>2100300025</v>
      </c>
      <c r="D7785">
        <v>6426000</v>
      </c>
      <c r="E7785" t="s">
        <v>188</v>
      </c>
      <c r="F7785">
        <v>5104010112</v>
      </c>
      <c r="G7785" s="13">
        <v>8250</v>
      </c>
      <c r="I7785" t="s">
        <v>150</v>
      </c>
      <c r="J7785" t="s">
        <v>916</v>
      </c>
      <c r="K7785" t="s">
        <v>490</v>
      </c>
      <c r="L7785">
        <v>8000186725</v>
      </c>
      <c r="N7785" t="s">
        <v>1031</v>
      </c>
    </row>
    <row r="7786" spans="3:14">
      <c r="C7786">
        <v>2100300025</v>
      </c>
      <c r="D7786">
        <v>6426000</v>
      </c>
      <c r="E7786" t="s">
        <v>188</v>
      </c>
      <c r="F7786">
        <v>5104010112</v>
      </c>
      <c r="G7786" s="13">
        <v>6420</v>
      </c>
      <c r="I7786" t="s">
        <v>150</v>
      </c>
      <c r="J7786" t="s">
        <v>918</v>
      </c>
      <c r="K7786" t="s">
        <v>490</v>
      </c>
      <c r="L7786">
        <v>8000251474</v>
      </c>
      <c r="N7786" t="s">
        <v>1031</v>
      </c>
    </row>
    <row r="7787" spans="3:14">
      <c r="C7787">
        <v>2100300025</v>
      </c>
      <c r="D7787">
        <v>6426000</v>
      </c>
      <c r="E7787" t="s">
        <v>188</v>
      </c>
      <c r="F7787">
        <v>5104010112</v>
      </c>
      <c r="G7787" s="13">
        <v>45000</v>
      </c>
      <c r="I7787" t="s">
        <v>150</v>
      </c>
      <c r="J7787" t="s">
        <v>823</v>
      </c>
      <c r="K7787" t="s">
        <v>490</v>
      </c>
      <c r="L7787">
        <v>8000173954</v>
      </c>
      <c r="N7787" t="s">
        <v>1031</v>
      </c>
    </row>
    <row r="7788" spans="3:14">
      <c r="C7788">
        <v>2100300025</v>
      </c>
      <c r="D7788">
        <v>6426000</v>
      </c>
      <c r="E7788" t="s">
        <v>188</v>
      </c>
      <c r="F7788">
        <v>5104010112</v>
      </c>
      <c r="G7788" s="13">
        <v>152500</v>
      </c>
      <c r="I7788" t="s">
        <v>150</v>
      </c>
      <c r="J7788" t="s">
        <v>827</v>
      </c>
      <c r="K7788" t="s">
        <v>490</v>
      </c>
      <c r="L7788">
        <v>8000277175</v>
      </c>
      <c r="N7788" t="s">
        <v>1031</v>
      </c>
    </row>
    <row r="7789" spans="3:14">
      <c r="C7789">
        <v>2100300025</v>
      </c>
      <c r="D7789">
        <v>6426000</v>
      </c>
      <c r="E7789" t="s">
        <v>188</v>
      </c>
      <c r="F7789">
        <v>5104010112</v>
      </c>
      <c r="G7789" s="13">
        <v>145000</v>
      </c>
      <c r="I7789" t="s">
        <v>150</v>
      </c>
      <c r="J7789" t="s">
        <v>918</v>
      </c>
      <c r="K7789" t="s">
        <v>490</v>
      </c>
      <c r="L7789">
        <v>8000275310</v>
      </c>
      <c r="N7789" t="s">
        <v>1031</v>
      </c>
    </row>
    <row r="7790" spans="3:14">
      <c r="C7790">
        <v>2100300025</v>
      </c>
      <c r="D7790">
        <v>6426000</v>
      </c>
      <c r="E7790" t="s">
        <v>188</v>
      </c>
      <c r="F7790">
        <v>5104010112</v>
      </c>
      <c r="G7790" s="13">
        <v>8400</v>
      </c>
      <c r="I7790" t="s">
        <v>150</v>
      </c>
      <c r="J7790" t="s">
        <v>827</v>
      </c>
      <c r="K7790" t="s">
        <v>490</v>
      </c>
      <c r="L7790">
        <v>8000277103</v>
      </c>
      <c r="N7790" t="s">
        <v>1031</v>
      </c>
    </row>
    <row r="7791" spans="3:14">
      <c r="C7791">
        <v>2100300025</v>
      </c>
      <c r="D7791">
        <v>6426000</v>
      </c>
      <c r="E7791" t="s">
        <v>188</v>
      </c>
      <c r="F7791">
        <v>5104010112</v>
      </c>
      <c r="G7791" s="13">
        <v>238180</v>
      </c>
      <c r="I7791" t="s">
        <v>150</v>
      </c>
      <c r="J7791" t="s">
        <v>799</v>
      </c>
      <c r="K7791" t="s">
        <v>490</v>
      </c>
      <c r="L7791">
        <v>8000164016</v>
      </c>
      <c r="N7791" t="s">
        <v>1037</v>
      </c>
    </row>
    <row r="7792" spans="3:14">
      <c r="C7792">
        <v>2100300025</v>
      </c>
      <c r="D7792">
        <v>6426000</v>
      </c>
      <c r="E7792" t="s">
        <v>188</v>
      </c>
      <c r="F7792">
        <v>5104010112</v>
      </c>
      <c r="G7792" s="13">
        <v>101400</v>
      </c>
      <c r="I7792" t="s">
        <v>150</v>
      </c>
      <c r="J7792" t="s">
        <v>799</v>
      </c>
      <c r="K7792" t="s">
        <v>490</v>
      </c>
      <c r="L7792">
        <v>8000165016</v>
      </c>
      <c r="N7792" t="s">
        <v>1038</v>
      </c>
    </row>
    <row r="7793" spans="3:14">
      <c r="C7793">
        <v>2100300025</v>
      </c>
      <c r="D7793">
        <v>6426000</v>
      </c>
      <c r="E7793" t="s">
        <v>188</v>
      </c>
      <c r="F7793">
        <v>5104010112</v>
      </c>
      <c r="G7793" s="13">
        <v>30650</v>
      </c>
      <c r="I7793" t="s">
        <v>150</v>
      </c>
      <c r="J7793" t="s">
        <v>915</v>
      </c>
      <c r="K7793" t="s">
        <v>490</v>
      </c>
      <c r="L7793">
        <v>8000238988</v>
      </c>
      <c r="N7793" t="s">
        <v>1031</v>
      </c>
    </row>
    <row r="7794" spans="3:14">
      <c r="C7794">
        <v>2100300025</v>
      </c>
      <c r="D7794">
        <v>6426000</v>
      </c>
      <c r="E7794" t="s">
        <v>188</v>
      </c>
      <c r="F7794">
        <v>5104010112</v>
      </c>
      <c r="G7794" s="13">
        <v>56000</v>
      </c>
      <c r="I7794" t="s">
        <v>150</v>
      </c>
      <c r="J7794" t="s">
        <v>799</v>
      </c>
      <c r="K7794" t="s">
        <v>490</v>
      </c>
      <c r="L7794">
        <v>8000154224</v>
      </c>
      <c r="N7794" t="s">
        <v>1031</v>
      </c>
    </row>
    <row r="7795" spans="3:14">
      <c r="C7795">
        <v>2100300025</v>
      </c>
      <c r="D7795">
        <v>6426000</v>
      </c>
      <c r="E7795" t="s">
        <v>188</v>
      </c>
      <c r="F7795">
        <v>5104010112</v>
      </c>
      <c r="G7795" s="13">
        <v>8977</v>
      </c>
      <c r="I7795" t="s">
        <v>150</v>
      </c>
      <c r="J7795" t="s">
        <v>799</v>
      </c>
      <c r="K7795" t="s">
        <v>490</v>
      </c>
      <c r="L7795">
        <v>8000153999</v>
      </c>
      <c r="N7795" t="s">
        <v>1031</v>
      </c>
    </row>
    <row r="7796" spans="3:14">
      <c r="C7796">
        <v>2100300025</v>
      </c>
      <c r="D7796">
        <v>6426000</v>
      </c>
      <c r="E7796" t="s">
        <v>188</v>
      </c>
      <c r="F7796">
        <v>5104010112</v>
      </c>
      <c r="G7796" s="13">
        <v>-56000</v>
      </c>
      <c r="I7796" t="s">
        <v>150</v>
      </c>
      <c r="J7796" t="s">
        <v>929</v>
      </c>
      <c r="K7796" t="s">
        <v>490</v>
      </c>
      <c r="L7796">
        <v>8000425187</v>
      </c>
      <c r="N7796" t="s">
        <v>1031</v>
      </c>
    </row>
    <row r="7797" spans="3:14">
      <c r="C7797">
        <v>2100300025</v>
      </c>
      <c r="D7797">
        <v>6426000</v>
      </c>
      <c r="E7797" t="s">
        <v>188</v>
      </c>
      <c r="F7797">
        <v>5104010112</v>
      </c>
      <c r="G7797" s="13">
        <v>-80250</v>
      </c>
      <c r="I7797" t="s">
        <v>150</v>
      </c>
      <c r="J7797" t="s">
        <v>579</v>
      </c>
      <c r="K7797" t="s">
        <v>490</v>
      </c>
      <c r="L7797">
        <v>8000492894</v>
      </c>
      <c r="N7797" t="s">
        <v>1031</v>
      </c>
    </row>
    <row r="7798" spans="3:14">
      <c r="C7798">
        <v>2100300025</v>
      </c>
      <c r="D7798">
        <v>6426000</v>
      </c>
      <c r="E7798" t="s">
        <v>188</v>
      </c>
      <c r="F7798">
        <v>5104010112</v>
      </c>
      <c r="G7798" s="13">
        <v>-238180</v>
      </c>
      <c r="I7798" t="s">
        <v>150</v>
      </c>
      <c r="J7798" t="s">
        <v>579</v>
      </c>
      <c r="K7798" t="s">
        <v>490</v>
      </c>
      <c r="L7798">
        <v>8000514414</v>
      </c>
      <c r="N7798" t="s">
        <v>1031</v>
      </c>
    </row>
    <row r="7799" spans="3:14">
      <c r="C7799">
        <v>2100300025</v>
      </c>
      <c r="D7799">
        <v>6426000</v>
      </c>
      <c r="E7799" t="s">
        <v>188</v>
      </c>
      <c r="F7799">
        <v>5104010112</v>
      </c>
      <c r="G7799" s="13">
        <v>-19950</v>
      </c>
      <c r="I7799" t="s">
        <v>150</v>
      </c>
      <c r="J7799" t="s">
        <v>579</v>
      </c>
      <c r="K7799" t="s">
        <v>490</v>
      </c>
      <c r="L7799">
        <v>8000511540</v>
      </c>
      <c r="N7799" t="s">
        <v>1031</v>
      </c>
    </row>
    <row r="7800" spans="3:14">
      <c r="C7800">
        <v>2100300025</v>
      </c>
      <c r="D7800">
        <v>6426000</v>
      </c>
      <c r="E7800" t="s">
        <v>188</v>
      </c>
      <c r="F7800">
        <v>5104010112</v>
      </c>
      <c r="G7800" s="13">
        <v>12500</v>
      </c>
      <c r="I7800" t="s">
        <v>150</v>
      </c>
      <c r="J7800" t="s">
        <v>579</v>
      </c>
      <c r="K7800" t="s">
        <v>490</v>
      </c>
      <c r="L7800">
        <v>8000498209</v>
      </c>
      <c r="N7800" t="s">
        <v>1031</v>
      </c>
    </row>
    <row r="7801" spans="3:14">
      <c r="C7801">
        <v>2100300025</v>
      </c>
      <c r="D7801">
        <v>6426000</v>
      </c>
      <c r="E7801" t="s">
        <v>188</v>
      </c>
      <c r="F7801">
        <v>5104010112</v>
      </c>
      <c r="G7801" s="13">
        <v>322500</v>
      </c>
      <c r="I7801" t="s">
        <v>150</v>
      </c>
      <c r="J7801" t="s">
        <v>801</v>
      </c>
      <c r="K7801" t="s">
        <v>490</v>
      </c>
      <c r="L7801">
        <v>8000332882</v>
      </c>
      <c r="N7801" t="s">
        <v>1031</v>
      </c>
    </row>
    <row r="7802" spans="3:14">
      <c r="C7802">
        <v>2100300025</v>
      </c>
      <c r="D7802">
        <v>6426000</v>
      </c>
      <c r="E7802" t="s">
        <v>188</v>
      </c>
      <c r="F7802">
        <v>5104010112</v>
      </c>
      <c r="G7802" s="13">
        <v>210000</v>
      </c>
      <c r="I7802" t="s">
        <v>150</v>
      </c>
      <c r="J7802" t="s">
        <v>925</v>
      </c>
      <c r="K7802" t="s">
        <v>490</v>
      </c>
      <c r="L7802">
        <v>8000452676</v>
      </c>
      <c r="N7802" t="s">
        <v>1031</v>
      </c>
    </row>
    <row r="7803" spans="3:14">
      <c r="C7803">
        <v>2100300025</v>
      </c>
      <c r="D7803">
        <v>6426000</v>
      </c>
      <c r="E7803" t="s">
        <v>188</v>
      </c>
      <c r="F7803">
        <v>5104010112</v>
      </c>
      <c r="G7803" s="13">
        <v>9000</v>
      </c>
      <c r="I7803" t="s">
        <v>150</v>
      </c>
      <c r="J7803" t="s">
        <v>927</v>
      </c>
      <c r="K7803" t="s">
        <v>490</v>
      </c>
      <c r="L7803">
        <v>8000329382</v>
      </c>
      <c r="N7803" t="s">
        <v>1039</v>
      </c>
    </row>
    <row r="7804" spans="3:14">
      <c r="C7804">
        <v>2100300025</v>
      </c>
      <c r="D7804">
        <v>6426000</v>
      </c>
      <c r="E7804" t="s">
        <v>188</v>
      </c>
      <c r="F7804">
        <v>5104010112</v>
      </c>
      <c r="G7804" s="13">
        <v>327000</v>
      </c>
      <c r="I7804" t="s">
        <v>150</v>
      </c>
      <c r="J7804" t="s">
        <v>929</v>
      </c>
      <c r="K7804" t="s">
        <v>490</v>
      </c>
      <c r="L7804">
        <v>8000410371</v>
      </c>
      <c r="N7804" t="s">
        <v>1031</v>
      </c>
    </row>
    <row r="7805" spans="3:14">
      <c r="C7805">
        <v>2100300025</v>
      </c>
      <c r="D7805">
        <v>6426000</v>
      </c>
      <c r="E7805" t="s">
        <v>188</v>
      </c>
      <c r="F7805">
        <v>5104010112</v>
      </c>
      <c r="G7805" s="13">
        <v>56000</v>
      </c>
      <c r="I7805" t="s">
        <v>150</v>
      </c>
      <c r="J7805" t="s">
        <v>929</v>
      </c>
      <c r="K7805" t="s">
        <v>490</v>
      </c>
      <c r="L7805">
        <v>8000402309</v>
      </c>
      <c r="N7805" t="s">
        <v>1031</v>
      </c>
    </row>
    <row r="7806" spans="3:14">
      <c r="C7806">
        <v>2100300025</v>
      </c>
      <c r="D7806">
        <v>6426000</v>
      </c>
      <c r="E7806" t="s">
        <v>188</v>
      </c>
      <c r="F7806">
        <v>5104010112</v>
      </c>
      <c r="G7806" s="13">
        <v>210000</v>
      </c>
      <c r="I7806" t="s">
        <v>150</v>
      </c>
      <c r="J7806" t="s">
        <v>829</v>
      </c>
      <c r="K7806" t="s">
        <v>490</v>
      </c>
      <c r="L7806">
        <v>8000433515</v>
      </c>
      <c r="N7806" t="s">
        <v>1031</v>
      </c>
    </row>
    <row r="7807" spans="3:14">
      <c r="C7807">
        <v>2100300025</v>
      </c>
      <c r="D7807">
        <v>6426000</v>
      </c>
      <c r="E7807" t="s">
        <v>188</v>
      </c>
      <c r="F7807">
        <v>5104010112</v>
      </c>
      <c r="G7807" s="13">
        <v>80250</v>
      </c>
      <c r="I7807" t="s">
        <v>150</v>
      </c>
      <c r="J7807" t="s">
        <v>579</v>
      </c>
      <c r="K7807" t="s">
        <v>490</v>
      </c>
      <c r="L7807">
        <v>8000468454</v>
      </c>
      <c r="N7807" t="s">
        <v>1031</v>
      </c>
    </row>
    <row r="7808" spans="3:14">
      <c r="C7808">
        <v>2100300025</v>
      </c>
      <c r="D7808">
        <v>6426000</v>
      </c>
      <c r="E7808" t="s">
        <v>188</v>
      </c>
      <c r="F7808">
        <v>5104010112</v>
      </c>
      <c r="G7808" s="13">
        <v>-14070.5</v>
      </c>
      <c r="I7808" t="s">
        <v>150</v>
      </c>
      <c r="J7808" t="s">
        <v>834</v>
      </c>
      <c r="K7808" t="s">
        <v>490</v>
      </c>
      <c r="L7808">
        <v>8000544110</v>
      </c>
      <c r="N7808" t="s">
        <v>1039</v>
      </c>
    </row>
    <row r="7809" spans="3:14">
      <c r="C7809">
        <v>2100300025</v>
      </c>
      <c r="D7809">
        <v>6426000</v>
      </c>
      <c r="E7809" t="s">
        <v>188</v>
      </c>
      <c r="F7809">
        <v>5104010112</v>
      </c>
      <c r="G7809" s="13">
        <v>238180</v>
      </c>
      <c r="I7809" t="s">
        <v>150</v>
      </c>
      <c r="J7809" t="s">
        <v>581</v>
      </c>
      <c r="K7809" t="s">
        <v>490</v>
      </c>
      <c r="L7809">
        <v>8000612486</v>
      </c>
      <c r="N7809" t="s">
        <v>1031</v>
      </c>
    </row>
    <row r="7810" spans="3:14">
      <c r="C7810">
        <v>2100300025</v>
      </c>
      <c r="D7810">
        <v>6426000</v>
      </c>
      <c r="E7810" t="s">
        <v>188</v>
      </c>
      <c r="F7810">
        <v>5104010112</v>
      </c>
      <c r="G7810" s="13">
        <v>-10200</v>
      </c>
      <c r="I7810" t="s">
        <v>150</v>
      </c>
      <c r="J7810" t="s">
        <v>583</v>
      </c>
      <c r="K7810" t="s">
        <v>490</v>
      </c>
      <c r="L7810">
        <v>8000784201</v>
      </c>
      <c r="N7810" t="s">
        <v>1031</v>
      </c>
    </row>
    <row r="7811" spans="3:14">
      <c r="C7811">
        <v>2100300025</v>
      </c>
      <c r="D7811">
        <v>6426000</v>
      </c>
      <c r="E7811" t="s">
        <v>188</v>
      </c>
      <c r="F7811">
        <v>5104010112</v>
      </c>
      <c r="G7811" s="13">
        <v>-133250</v>
      </c>
      <c r="I7811" t="s">
        <v>150</v>
      </c>
      <c r="J7811" t="s">
        <v>583</v>
      </c>
      <c r="K7811" t="s">
        <v>490</v>
      </c>
      <c r="L7811">
        <v>8000792308</v>
      </c>
      <c r="N7811" t="s">
        <v>1031</v>
      </c>
    </row>
    <row r="7812" spans="3:14">
      <c r="C7812">
        <v>2100300025</v>
      </c>
      <c r="D7812">
        <v>6426000</v>
      </c>
      <c r="E7812" t="s">
        <v>188</v>
      </c>
      <c r="F7812">
        <v>5104010112</v>
      </c>
      <c r="G7812" s="13">
        <v>98000</v>
      </c>
      <c r="I7812" t="s">
        <v>150</v>
      </c>
      <c r="J7812" t="s">
        <v>840</v>
      </c>
      <c r="K7812" t="s">
        <v>490</v>
      </c>
      <c r="L7812">
        <v>8000655215</v>
      </c>
      <c r="N7812" t="s">
        <v>1031</v>
      </c>
    </row>
    <row r="7813" spans="3:14">
      <c r="C7813">
        <v>2100300025</v>
      </c>
      <c r="D7813">
        <v>6426000</v>
      </c>
      <c r="E7813" t="s">
        <v>188</v>
      </c>
      <c r="F7813">
        <v>5104010112</v>
      </c>
      <c r="G7813" s="13">
        <v>133250</v>
      </c>
      <c r="I7813" t="s">
        <v>150</v>
      </c>
      <c r="J7813" t="s">
        <v>940</v>
      </c>
      <c r="K7813" t="s">
        <v>490</v>
      </c>
      <c r="L7813">
        <v>8000653220</v>
      </c>
      <c r="N7813" t="s">
        <v>1031</v>
      </c>
    </row>
    <row r="7814" spans="3:14">
      <c r="C7814">
        <v>2100300025</v>
      </c>
      <c r="D7814">
        <v>6426000</v>
      </c>
      <c r="E7814" t="s">
        <v>188</v>
      </c>
      <c r="F7814">
        <v>5104010112</v>
      </c>
      <c r="G7814" s="13">
        <v>10200</v>
      </c>
      <c r="I7814" t="s">
        <v>150</v>
      </c>
      <c r="J7814" t="s">
        <v>583</v>
      </c>
      <c r="K7814" t="s">
        <v>490</v>
      </c>
      <c r="L7814">
        <v>8000783061</v>
      </c>
      <c r="N7814" t="s">
        <v>1031</v>
      </c>
    </row>
    <row r="7815" spans="3:14">
      <c r="C7815">
        <v>2100300025</v>
      </c>
      <c r="D7815">
        <v>6426000</v>
      </c>
      <c r="E7815" t="s">
        <v>188</v>
      </c>
      <c r="F7815">
        <v>5104010112</v>
      </c>
      <c r="G7815" s="13">
        <v>13000</v>
      </c>
      <c r="I7815" t="s">
        <v>150</v>
      </c>
      <c r="J7815" t="s">
        <v>943</v>
      </c>
      <c r="K7815" t="s">
        <v>490</v>
      </c>
      <c r="L7815">
        <v>8000677799</v>
      </c>
      <c r="N7815" t="s">
        <v>1039</v>
      </c>
    </row>
    <row r="7816" spans="3:14">
      <c r="C7816">
        <v>2100300025</v>
      </c>
      <c r="D7816">
        <v>6426000</v>
      </c>
      <c r="E7816" t="s">
        <v>188</v>
      </c>
      <c r="F7816">
        <v>5104010112</v>
      </c>
      <c r="G7816" s="13">
        <v>42000</v>
      </c>
      <c r="I7816" t="s">
        <v>150</v>
      </c>
      <c r="J7816" t="s">
        <v>925</v>
      </c>
      <c r="K7816" t="s">
        <v>490</v>
      </c>
      <c r="L7816">
        <v>8000488415</v>
      </c>
      <c r="N7816" t="s">
        <v>1031</v>
      </c>
    </row>
    <row r="7817" spans="3:14">
      <c r="C7817">
        <v>2100300025</v>
      </c>
      <c r="D7817">
        <v>6426000</v>
      </c>
      <c r="E7817" t="s">
        <v>188</v>
      </c>
      <c r="F7817">
        <v>5104010112</v>
      </c>
      <c r="G7817" s="13">
        <v>238180</v>
      </c>
      <c r="I7817" t="s">
        <v>150</v>
      </c>
      <c r="J7817" t="s">
        <v>579</v>
      </c>
      <c r="K7817" t="s">
        <v>490</v>
      </c>
      <c r="L7817">
        <v>8000505575</v>
      </c>
      <c r="N7817" t="s">
        <v>1031</v>
      </c>
    </row>
    <row r="7818" spans="3:14">
      <c r="C7818">
        <v>2100300025</v>
      </c>
      <c r="D7818">
        <v>6426000</v>
      </c>
      <c r="E7818" t="s">
        <v>188</v>
      </c>
      <c r="F7818">
        <v>5104010112</v>
      </c>
      <c r="G7818" s="13">
        <v>-101400</v>
      </c>
      <c r="I7818" t="s">
        <v>150</v>
      </c>
      <c r="J7818" t="s">
        <v>952</v>
      </c>
      <c r="K7818" t="s">
        <v>490</v>
      </c>
      <c r="L7818">
        <v>8000806463</v>
      </c>
      <c r="N7818" t="s">
        <v>1031</v>
      </c>
    </row>
    <row r="7819" spans="3:14">
      <c r="C7819">
        <v>2100300025</v>
      </c>
      <c r="D7819">
        <v>6426000</v>
      </c>
      <c r="E7819" t="s">
        <v>188</v>
      </c>
      <c r="F7819">
        <v>5104010112</v>
      </c>
      <c r="G7819" s="13">
        <v>101400</v>
      </c>
      <c r="I7819" t="s">
        <v>150</v>
      </c>
      <c r="J7819" t="s">
        <v>952</v>
      </c>
      <c r="K7819" t="s">
        <v>490</v>
      </c>
      <c r="L7819">
        <v>8000806462</v>
      </c>
      <c r="N7819" t="s">
        <v>1031</v>
      </c>
    </row>
    <row r="7820" spans="3:14">
      <c r="C7820">
        <v>2100300025</v>
      </c>
      <c r="D7820">
        <v>6426000</v>
      </c>
      <c r="E7820" t="s">
        <v>188</v>
      </c>
      <c r="F7820">
        <v>5104010112</v>
      </c>
      <c r="G7820" s="13">
        <v>101400</v>
      </c>
      <c r="I7820" t="s">
        <v>150</v>
      </c>
      <c r="J7820" t="s">
        <v>952</v>
      </c>
      <c r="K7820" t="s">
        <v>490</v>
      </c>
      <c r="L7820">
        <v>8000806464</v>
      </c>
      <c r="N7820" t="s">
        <v>1031</v>
      </c>
    </row>
    <row r="7821" spans="3:14">
      <c r="C7821">
        <v>2100300025</v>
      </c>
      <c r="D7821">
        <v>6426000</v>
      </c>
      <c r="E7821" t="s">
        <v>188</v>
      </c>
      <c r="F7821">
        <v>5104010112</v>
      </c>
      <c r="G7821" s="13">
        <v>13000</v>
      </c>
      <c r="I7821" t="s">
        <v>150</v>
      </c>
      <c r="J7821" t="s">
        <v>1353</v>
      </c>
      <c r="K7821" t="s">
        <v>490</v>
      </c>
      <c r="L7821">
        <v>8001164430</v>
      </c>
      <c r="N7821" t="s">
        <v>1039</v>
      </c>
    </row>
    <row r="7822" spans="3:14">
      <c r="C7822">
        <v>2100300025</v>
      </c>
      <c r="D7822">
        <v>6426000</v>
      </c>
      <c r="E7822" t="s">
        <v>188</v>
      </c>
      <c r="F7822">
        <v>5104010112</v>
      </c>
      <c r="G7822" s="13">
        <v>133250</v>
      </c>
      <c r="I7822" t="s">
        <v>150</v>
      </c>
      <c r="J7822" t="s">
        <v>1353</v>
      </c>
      <c r="K7822" t="s">
        <v>490</v>
      </c>
      <c r="L7822">
        <v>8001165255</v>
      </c>
      <c r="N7822" t="s">
        <v>1031</v>
      </c>
    </row>
    <row r="7823" spans="3:14">
      <c r="C7823">
        <v>2100300025</v>
      </c>
      <c r="D7823">
        <v>6426000</v>
      </c>
      <c r="E7823" t="s">
        <v>188</v>
      </c>
      <c r="F7823">
        <v>5104010112</v>
      </c>
      <c r="G7823" s="13">
        <v>10200</v>
      </c>
      <c r="I7823" t="s">
        <v>150</v>
      </c>
      <c r="J7823" t="s">
        <v>1353</v>
      </c>
      <c r="K7823" t="s">
        <v>490</v>
      </c>
      <c r="L7823">
        <v>8001096336</v>
      </c>
      <c r="N7823" t="s">
        <v>1031</v>
      </c>
    </row>
    <row r="7824" spans="3:14">
      <c r="C7824">
        <v>2100300025</v>
      </c>
      <c r="D7824">
        <v>6426000</v>
      </c>
      <c r="E7824" t="s">
        <v>188</v>
      </c>
      <c r="F7824">
        <v>5104010112</v>
      </c>
      <c r="G7824" s="13">
        <v>46440</v>
      </c>
      <c r="I7824" t="s">
        <v>150</v>
      </c>
      <c r="J7824" t="s">
        <v>1203</v>
      </c>
      <c r="K7824" t="s">
        <v>490</v>
      </c>
      <c r="L7824">
        <v>8000664279</v>
      </c>
      <c r="N7824" t="s">
        <v>1031</v>
      </c>
    </row>
    <row r="7825" spans="3:14">
      <c r="C7825">
        <v>2100300025</v>
      </c>
      <c r="D7825">
        <v>6426000</v>
      </c>
      <c r="E7825" t="s">
        <v>188</v>
      </c>
      <c r="F7825">
        <v>5104010112</v>
      </c>
      <c r="G7825" s="13">
        <v>35000</v>
      </c>
      <c r="I7825" t="s">
        <v>150</v>
      </c>
      <c r="J7825" t="s">
        <v>902</v>
      </c>
      <c r="K7825" t="s">
        <v>490</v>
      </c>
      <c r="L7825">
        <v>8000095777</v>
      </c>
      <c r="N7825" t="s">
        <v>1031</v>
      </c>
    </row>
    <row r="7826" spans="3:14">
      <c r="C7826">
        <v>2100300025</v>
      </c>
      <c r="D7826">
        <v>6426000</v>
      </c>
      <c r="E7826" t="s">
        <v>188</v>
      </c>
      <c r="F7826">
        <v>5104010112</v>
      </c>
      <c r="G7826" s="13">
        <v>-179644</v>
      </c>
      <c r="I7826" t="s">
        <v>150</v>
      </c>
      <c r="J7826" t="s">
        <v>832</v>
      </c>
      <c r="K7826" t="s">
        <v>490</v>
      </c>
      <c r="L7826">
        <v>8000453532</v>
      </c>
      <c r="N7826" t="s">
        <v>1031</v>
      </c>
    </row>
    <row r="7827" spans="3:14">
      <c r="C7827">
        <v>2100300025</v>
      </c>
      <c r="D7827">
        <v>6426000</v>
      </c>
      <c r="E7827" t="s">
        <v>188</v>
      </c>
      <c r="F7827">
        <v>5104010112</v>
      </c>
      <c r="G7827" s="13">
        <v>-322500</v>
      </c>
      <c r="I7827" t="s">
        <v>150</v>
      </c>
      <c r="J7827" t="s">
        <v>801</v>
      </c>
      <c r="K7827" t="s">
        <v>490</v>
      </c>
      <c r="L7827">
        <v>8000352809</v>
      </c>
      <c r="N7827" t="s">
        <v>1031</v>
      </c>
    </row>
    <row r="7828" spans="3:14">
      <c r="C7828">
        <v>2100300025</v>
      </c>
      <c r="D7828">
        <v>6426000</v>
      </c>
      <c r="E7828" t="s">
        <v>188</v>
      </c>
      <c r="F7828">
        <v>5104010112</v>
      </c>
      <c r="G7828" s="13">
        <v>-210000</v>
      </c>
      <c r="I7828" t="s">
        <v>150</v>
      </c>
      <c r="J7828" t="s">
        <v>925</v>
      </c>
      <c r="K7828" t="s">
        <v>490</v>
      </c>
      <c r="L7828">
        <v>8000465531</v>
      </c>
      <c r="N7828" t="s">
        <v>1031</v>
      </c>
    </row>
    <row r="7829" spans="3:14">
      <c r="C7829">
        <v>2100300025</v>
      </c>
      <c r="D7829">
        <v>6426000</v>
      </c>
      <c r="E7829" t="s">
        <v>188</v>
      </c>
      <c r="F7829">
        <v>5104010112</v>
      </c>
      <c r="G7829" s="13">
        <v>485000</v>
      </c>
      <c r="I7829" t="s">
        <v>150</v>
      </c>
      <c r="J7829" t="s">
        <v>563</v>
      </c>
      <c r="K7829" t="s">
        <v>490</v>
      </c>
      <c r="L7829">
        <v>8000460161</v>
      </c>
      <c r="N7829" t="s">
        <v>1031</v>
      </c>
    </row>
    <row r="7830" spans="3:14">
      <c r="C7830">
        <v>2100300025</v>
      </c>
      <c r="D7830">
        <v>6426000</v>
      </c>
      <c r="E7830" t="s">
        <v>188</v>
      </c>
      <c r="F7830">
        <v>5104010112</v>
      </c>
      <c r="G7830" s="13">
        <v>327000</v>
      </c>
      <c r="I7830" t="s">
        <v>150</v>
      </c>
      <c r="J7830" t="s">
        <v>929</v>
      </c>
      <c r="K7830" t="s">
        <v>490</v>
      </c>
      <c r="L7830">
        <v>8000415976</v>
      </c>
      <c r="N7830" t="s">
        <v>1031</v>
      </c>
    </row>
    <row r="7831" spans="3:14">
      <c r="C7831">
        <v>2100300025</v>
      </c>
      <c r="D7831">
        <v>6426000</v>
      </c>
      <c r="E7831" t="s">
        <v>188</v>
      </c>
      <c r="F7831">
        <v>5104010112</v>
      </c>
      <c r="G7831" s="13">
        <v>6000</v>
      </c>
      <c r="I7831" t="s">
        <v>150</v>
      </c>
      <c r="J7831" t="s">
        <v>929</v>
      </c>
      <c r="K7831" t="s">
        <v>490</v>
      </c>
      <c r="L7831">
        <v>8000416452</v>
      </c>
      <c r="N7831" t="s">
        <v>1031</v>
      </c>
    </row>
    <row r="7832" spans="3:14">
      <c r="C7832">
        <v>2100300025</v>
      </c>
      <c r="D7832">
        <v>6426000</v>
      </c>
      <c r="E7832" t="s">
        <v>188</v>
      </c>
      <c r="F7832">
        <v>5104010112</v>
      </c>
      <c r="G7832" s="13">
        <v>13000</v>
      </c>
      <c r="I7832" t="s">
        <v>150</v>
      </c>
      <c r="J7832" t="s">
        <v>554</v>
      </c>
      <c r="K7832" t="s">
        <v>490</v>
      </c>
      <c r="L7832">
        <v>8000366757</v>
      </c>
      <c r="N7832" t="s">
        <v>1039</v>
      </c>
    </row>
    <row r="7833" spans="3:14">
      <c r="C7833">
        <v>2100300025</v>
      </c>
      <c r="D7833">
        <v>6426000</v>
      </c>
      <c r="E7833" t="s">
        <v>188</v>
      </c>
      <c r="F7833">
        <v>5104010112</v>
      </c>
      <c r="G7833" s="13">
        <v>238180</v>
      </c>
      <c r="I7833" t="s">
        <v>150</v>
      </c>
      <c r="J7833" t="s">
        <v>579</v>
      </c>
      <c r="K7833" t="s">
        <v>490</v>
      </c>
      <c r="L7833">
        <v>8000514504</v>
      </c>
      <c r="N7833" t="s">
        <v>1031</v>
      </c>
    </row>
    <row r="7834" spans="3:14">
      <c r="C7834">
        <v>2100300025</v>
      </c>
      <c r="D7834">
        <v>6426000</v>
      </c>
      <c r="E7834" t="s">
        <v>188</v>
      </c>
      <c r="F7834">
        <v>5104010112</v>
      </c>
      <c r="G7834" s="13">
        <v>238180</v>
      </c>
      <c r="I7834" t="s">
        <v>150</v>
      </c>
      <c r="J7834" t="s">
        <v>564</v>
      </c>
      <c r="K7834" t="s">
        <v>490</v>
      </c>
      <c r="L7834">
        <v>8000320337</v>
      </c>
      <c r="N7834" t="s">
        <v>1031</v>
      </c>
    </row>
    <row r="7835" spans="3:14">
      <c r="C7835">
        <v>2100300025</v>
      </c>
      <c r="D7835">
        <v>6426000</v>
      </c>
      <c r="E7835" t="s">
        <v>188</v>
      </c>
      <c r="F7835">
        <v>5104010112</v>
      </c>
      <c r="G7835" s="13">
        <v>133250</v>
      </c>
      <c r="I7835" t="s">
        <v>150</v>
      </c>
      <c r="J7835" t="s">
        <v>564</v>
      </c>
      <c r="K7835" t="s">
        <v>490</v>
      </c>
      <c r="L7835">
        <v>8000318679</v>
      </c>
      <c r="N7835" t="s">
        <v>1031</v>
      </c>
    </row>
    <row r="7836" spans="3:14">
      <c r="C7836">
        <v>2100300025</v>
      </c>
      <c r="D7836">
        <v>6426000</v>
      </c>
      <c r="E7836" t="s">
        <v>188</v>
      </c>
      <c r="F7836">
        <v>5104010112</v>
      </c>
      <c r="G7836" s="13">
        <v>101400</v>
      </c>
      <c r="I7836" t="s">
        <v>150</v>
      </c>
      <c r="J7836" t="s">
        <v>564</v>
      </c>
      <c r="K7836" t="s">
        <v>490</v>
      </c>
      <c r="L7836">
        <v>8000318358</v>
      </c>
      <c r="N7836" t="s">
        <v>1031</v>
      </c>
    </row>
    <row r="7837" spans="3:14">
      <c r="C7837">
        <v>2100300025</v>
      </c>
      <c r="D7837">
        <v>6426000</v>
      </c>
      <c r="E7837" t="s">
        <v>188</v>
      </c>
      <c r="F7837">
        <v>5104010112</v>
      </c>
      <c r="G7837" s="13">
        <v>35000</v>
      </c>
      <c r="I7837" t="s">
        <v>150</v>
      </c>
      <c r="J7837" t="s">
        <v>923</v>
      </c>
      <c r="K7837" t="s">
        <v>490</v>
      </c>
      <c r="L7837">
        <v>8000395464</v>
      </c>
      <c r="N7837" t="s">
        <v>1031</v>
      </c>
    </row>
    <row r="7838" spans="3:14">
      <c r="C7838">
        <v>2100300025</v>
      </c>
      <c r="D7838">
        <v>6426000</v>
      </c>
      <c r="E7838" t="s">
        <v>188</v>
      </c>
      <c r="F7838">
        <v>5104010112</v>
      </c>
      <c r="G7838" s="13">
        <v>179644</v>
      </c>
      <c r="I7838" t="s">
        <v>150</v>
      </c>
      <c r="J7838" t="s">
        <v>832</v>
      </c>
      <c r="K7838" t="s">
        <v>490</v>
      </c>
      <c r="L7838">
        <v>8000432278</v>
      </c>
      <c r="N7838" t="s">
        <v>1031</v>
      </c>
    </row>
    <row r="7839" spans="3:14">
      <c r="C7839">
        <v>2100300025</v>
      </c>
      <c r="D7839">
        <v>6426000</v>
      </c>
      <c r="E7839" t="s">
        <v>188</v>
      </c>
      <c r="F7839">
        <v>5104010112</v>
      </c>
      <c r="G7839" s="13">
        <v>80000</v>
      </c>
      <c r="I7839" t="s">
        <v>150</v>
      </c>
      <c r="J7839" t="s">
        <v>579</v>
      </c>
      <c r="K7839" t="s">
        <v>490</v>
      </c>
      <c r="L7839">
        <v>8000475593</v>
      </c>
      <c r="N7839" t="s">
        <v>1031</v>
      </c>
    </row>
    <row r="7840" spans="3:14">
      <c r="C7840">
        <v>2100300025</v>
      </c>
      <c r="D7840">
        <v>6426000</v>
      </c>
      <c r="E7840" t="s">
        <v>188</v>
      </c>
      <c r="F7840">
        <v>5104010112</v>
      </c>
      <c r="G7840" s="13">
        <v>160000</v>
      </c>
      <c r="I7840" t="s">
        <v>150</v>
      </c>
      <c r="J7840" t="s">
        <v>925</v>
      </c>
      <c r="K7840" t="s">
        <v>490</v>
      </c>
      <c r="L7840">
        <v>8000385276</v>
      </c>
      <c r="N7840" t="s">
        <v>1031</v>
      </c>
    </row>
    <row r="7841" spans="3:14">
      <c r="C7841">
        <v>2100300025</v>
      </c>
      <c r="D7841">
        <v>6426000</v>
      </c>
      <c r="E7841" t="s">
        <v>188</v>
      </c>
      <c r="F7841">
        <v>5104010112</v>
      </c>
      <c r="G7841" s="13">
        <v>-101400</v>
      </c>
      <c r="I7841" t="s">
        <v>150</v>
      </c>
      <c r="J7841" t="s">
        <v>839</v>
      </c>
      <c r="K7841" t="s">
        <v>490</v>
      </c>
      <c r="L7841">
        <v>8000498022</v>
      </c>
      <c r="N7841" t="s">
        <v>1031</v>
      </c>
    </row>
    <row r="7842" spans="3:14">
      <c r="C7842">
        <v>2100300025</v>
      </c>
      <c r="D7842">
        <v>6426000</v>
      </c>
      <c r="E7842" t="s">
        <v>188</v>
      </c>
      <c r="F7842">
        <v>5104010112</v>
      </c>
      <c r="G7842" s="13">
        <v>101400</v>
      </c>
      <c r="I7842" t="s">
        <v>150</v>
      </c>
      <c r="J7842" t="s">
        <v>839</v>
      </c>
      <c r="K7842" t="s">
        <v>490</v>
      </c>
      <c r="L7842">
        <v>8000497855</v>
      </c>
      <c r="N7842" t="s">
        <v>1031</v>
      </c>
    </row>
    <row r="7843" spans="3:14">
      <c r="C7843">
        <v>2100300025</v>
      </c>
      <c r="D7843">
        <v>6426000</v>
      </c>
      <c r="E7843" t="s">
        <v>188</v>
      </c>
      <c r="F7843">
        <v>5104010112</v>
      </c>
      <c r="G7843" s="13">
        <v>-133250</v>
      </c>
      <c r="I7843" t="s">
        <v>150</v>
      </c>
      <c r="J7843" t="s">
        <v>931</v>
      </c>
      <c r="K7843" t="s">
        <v>490</v>
      </c>
      <c r="L7843">
        <v>8000521679</v>
      </c>
      <c r="N7843" t="s">
        <v>1031</v>
      </c>
    </row>
    <row r="7844" spans="3:14">
      <c r="C7844">
        <v>2100300025</v>
      </c>
      <c r="D7844">
        <v>6426000</v>
      </c>
      <c r="E7844" t="s">
        <v>188</v>
      </c>
      <c r="F7844">
        <v>5104010112</v>
      </c>
      <c r="G7844" s="13">
        <v>133250</v>
      </c>
      <c r="I7844" t="s">
        <v>150</v>
      </c>
      <c r="J7844" t="s">
        <v>931</v>
      </c>
      <c r="K7844" t="s">
        <v>490</v>
      </c>
      <c r="L7844">
        <v>8000521681</v>
      </c>
      <c r="N7844" t="s">
        <v>1031</v>
      </c>
    </row>
    <row r="7845" spans="3:14">
      <c r="C7845">
        <v>2100300025</v>
      </c>
      <c r="D7845">
        <v>6426000</v>
      </c>
      <c r="E7845" t="s">
        <v>188</v>
      </c>
      <c r="F7845">
        <v>5104010112</v>
      </c>
      <c r="G7845" s="13">
        <v>-101400</v>
      </c>
      <c r="I7845" t="s">
        <v>150</v>
      </c>
      <c r="J7845" t="s">
        <v>839</v>
      </c>
      <c r="K7845" t="s">
        <v>490</v>
      </c>
      <c r="L7845">
        <v>8000513702</v>
      </c>
      <c r="N7845" t="s">
        <v>1031</v>
      </c>
    </row>
    <row r="7846" spans="3:14">
      <c r="C7846">
        <v>2100300025</v>
      </c>
      <c r="D7846">
        <v>6426000</v>
      </c>
      <c r="E7846" t="s">
        <v>188</v>
      </c>
      <c r="F7846">
        <v>5104010112</v>
      </c>
      <c r="G7846" s="13">
        <v>101400</v>
      </c>
      <c r="I7846" t="s">
        <v>150</v>
      </c>
      <c r="J7846" t="s">
        <v>837</v>
      </c>
      <c r="K7846" t="s">
        <v>490</v>
      </c>
      <c r="L7846">
        <v>8000513703</v>
      </c>
      <c r="N7846" t="s">
        <v>1031</v>
      </c>
    </row>
    <row r="7847" spans="3:14">
      <c r="C7847">
        <v>2100300025</v>
      </c>
      <c r="D7847">
        <v>6426000</v>
      </c>
      <c r="E7847" t="s">
        <v>188</v>
      </c>
      <c r="F7847">
        <v>5104010112</v>
      </c>
      <c r="G7847" s="13">
        <v>27820</v>
      </c>
      <c r="I7847" t="s">
        <v>150</v>
      </c>
      <c r="J7847" t="s">
        <v>931</v>
      </c>
      <c r="K7847" t="s">
        <v>490</v>
      </c>
      <c r="L7847">
        <v>8000521816</v>
      </c>
      <c r="N7847" t="s">
        <v>1031</v>
      </c>
    </row>
    <row r="7848" spans="3:14">
      <c r="C7848">
        <v>2100300025</v>
      </c>
      <c r="D7848">
        <v>6426000</v>
      </c>
      <c r="E7848" t="s">
        <v>188</v>
      </c>
      <c r="F7848">
        <v>5104010112</v>
      </c>
      <c r="G7848" s="13">
        <v>101400</v>
      </c>
      <c r="I7848" t="s">
        <v>150</v>
      </c>
      <c r="J7848" t="s">
        <v>839</v>
      </c>
      <c r="K7848" t="s">
        <v>490</v>
      </c>
      <c r="L7848">
        <v>8000493754</v>
      </c>
      <c r="N7848" t="s">
        <v>1031</v>
      </c>
    </row>
    <row r="7849" spans="3:14">
      <c r="C7849">
        <v>2100300025</v>
      </c>
      <c r="D7849">
        <v>6426000</v>
      </c>
      <c r="E7849" t="s">
        <v>188</v>
      </c>
      <c r="F7849">
        <v>5104010112</v>
      </c>
      <c r="G7849" s="13">
        <v>12976</v>
      </c>
      <c r="I7849" t="s">
        <v>150</v>
      </c>
      <c r="J7849" t="s">
        <v>933</v>
      </c>
      <c r="K7849" t="s">
        <v>490</v>
      </c>
      <c r="L7849">
        <v>8000510117</v>
      </c>
      <c r="N7849" t="s">
        <v>1031</v>
      </c>
    </row>
    <row r="7850" spans="3:14">
      <c r="C7850">
        <v>2100300025</v>
      </c>
      <c r="D7850">
        <v>6426000</v>
      </c>
      <c r="E7850" t="s">
        <v>188</v>
      </c>
      <c r="F7850">
        <v>5104010112</v>
      </c>
      <c r="G7850" s="13">
        <v>5231</v>
      </c>
      <c r="I7850" t="s">
        <v>150</v>
      </c>
      <c r="J7850" t="s">
        <v>839</v>
      </c>
      <c r="K7850" t="s">
        <v>490</v>
      </c>
      <c r="L7850">
        <v>8000510316</v>
      </c>
      <c r="N7850" t="s">
        <v>1031</v>
      </c>
    </row>
    <row r="7851" spans="3:14">
      <c r="C7851">
        <v>2100300025</v>
      </c>
      <c r="D7851">
        <v>6426000</v>
      </c>
      <c r="E7851" t="s">
        <v>188</v>
      </c>
      <c r="F7851">
        <v>5104010112</v>
      </c>
      <c r="G7851" s="13">
        <v>19950</v>
      </c>
      <c r="I7851" t="s">
        <v>150</v>
      </c>
      <c r="J7851" t="s">
        <v>837</v>
      </c>
      <c r="K7851" t="s">
        <v>490</v>
      </c>
      <c r="L7851">
        <v>8000511675</v>
      </c>
      <c r="N7851" t="s">
        <v>1031</v>
      </c>
    </row>
    <row r="7852" spans="3:14">
      <c r="C7852">
        <v>2100300025</v>
      </c>
      <c r="D7852">
        <v>6426000</v>
      </c>
      <c r="E7852" t="s">
        <v>188</v>
      </c>
      <c r="F7852">
        <v>5104010112</v>
      </c>
      <c r="G7852" s="13">
        <v>76442</v>
      </c>
      <c r="I7852" t="s">
        <v>150</v>
      </c>
      <c r="J7852" t="s">
        <v>937</v>
      </c>
      <c r="K7852" t="s">
        <v>490</v>
      </c>
      <c r="L7852">
        <v>8000552321</v>
      </c>
      <c r="N7852" t="s">
        <v>1031</v>
      </c>
    </row>
    <row r="7853" spans="3:14">
      <c r="C7853">
        <v>2100300025</v>
      </c>
      <c r="D7853">
        <v>6426000</v>
      </c>
      <c r="E7853" t="s">
        <v>188</v>
      </c>
      <c r="F7853">
        <v>5104010112</v>
      </c>
      <c r="G7853" s="13">
        <v>9095</v>
      </c>
      <c r="I7853" t="s">
        <v>150</v>
      </c>
      <c r="J7853" t="s">
        <v>935</v>
      </c>
      <c r="K7853" t="s">
        <v>490</v>
      </c>
      <c r="L7853">
        <v>8000589632</v>
      </c>
      <c r="N7853" t="s">
        <v>1031</v>
      </c>
    </row>
    <row r="7854" spans="3:14">
      <c r="C7854">
        <v>2100300025</v>
      </c>
      <c r="D7854">
        <v>6426000</v>
      </c>
      <c r="E7854" t="s">
        <v>188</v>
      </c>
      <c r="F7854">
        <v>5104010112</v>
      </c>
      <c r="G7854" s="13">
        <v>101400</v>
      </c>
      <c r="I7854" t="s">
        <v>150</v>
      </c>
      <c r="J7854" t="s">
        <v>581</v>
      </c>
      <c r="K7854" t="s">
        <v>490</v>
      </c>
      <c r="L7854">
        <v>8000615122</v>
      </c>
      <c r="N7854" t="s">
        <v>1031</v>
      </c>
    </row>
    <row r="7855" spans="3:14">
      <c r="C7855">
        <v>2100300025</v>
      </c>
      <c r="D7855">
        <v>6426000</v>
      </c>
      <c r="E7855" t="s">
        <v>188</v>
      </c>
      <c r="F7855">
        <v>5104010112</v>
      </c>
      <c r="G7855" s="13">
        <v>10200</v>
      </c>
      <c r="I7855" t="s">
        <v>150</v>
      </c>
      <c r="J7855" t="s">
        <v>581</v>
      </c>
      <c r="K7855" t="s">
        <v>490</v>
      </c>
      <c r="L7855">
        <v>8000612049</v>
      </c>
      <c r="N7855" t="s">
        <v>1031</v>
      </c>
    </row>
    <row r="7856" spans="3:14">
      <c r="C7856">
        <v>2100300025</v>
      </c>
      <c r="D7856">
        <v>6426000</v>
      </c>
      <c r="E7856" t="s">
        <v>188</v>
      </c>
      <c r="F7856">
        <v>5104010112</v>
      </c>
      <c r="G7856" s="13">
        <v>14070.5</v>
      </c>
      <c r="I7856" t="s">
        <v>150</v>
      </c>
      <c r="J7856" t="s">
        <v>834</v>
      </c>
      <c r="K7856" t="s">
        <v>490</v>
      </c>
      <c r="L7856">
        <v>8000529046</v>
      </c>
      <c r="N7856" t="s">
        <v>1039</v>
      </c>
    </row>
    <row r="7857" spans="3:14">
      <c r="C7857">
        <v>2100300025</v>
      </c>
      <c r="D7857">
        <v>6426000</v>
      </c>
      <c r="E7857" t="s">
        <v>188</v>
      </c>
      <c r="F7857">
        <v>5104010112</v>
      </c>
      <c r="G7857" s="13">
        <v>70000</v>
      </c>
      <c r="I7857" t="s">
        <v>150</v>
      </c>
      <c r="J7857" t="s">
        <v>936</v>
      </c>
      <c r="K7857" t="s">
        <v>490</v>
      </c>
      <c r="L7857">
        <v>8000562684</v>
      </c>
      <c r="N7857" t="s">
        <v>1031</v>
      </c>
    </row>
    <row r="7858" spans="3:14">
      <c r="C7858">
        <v>2100300025</v>
      </c>
      <c r="D7858">
        <v>6426000</v>
      </c>
      <c r="E7858" t="s">
        <v>188</v>
      </c>
      <c r="F7858">
        <v>5104010112</v>
      </c>
      <c r="G7858" s="13">
        <v>4500</v>
      </c>
      <c r="I7858" t="s">
        <v>150</v>
      </c>
      <c r="J7858" t="s">
        <v>581</v>
      </c>
      <c r="K7858" t="s">
        <v>490</v>
      </c>
      <c r="L7858">
        <v>8000596557</v>
      </c>
      <c r="N7858" t="s">
        <v>1031</v>
      </c>
    </row>
    <row r="7859" spans="3:14">
      <c r="C7859">
        <v>2100300025</v>
      </c>
      <c r="D7859">
        <v>6426000</v>
      </c>
      <c r="E7859" t="s">
        <v>188</v>
      </c>
      <c r="F7859">
        <v>5104010112</v>
      </c>
      <c r="G7859" s="13">
        <v>60990</v>
      </c>
      <c r="I7859" t="s">
        <v>150</v>
      </c>
      <c r="J7859" t="s">
        <v>934</v>
      </c>
      <c r="K7859" t="s">
        <v>490</v>
      </c>
      <c r="L7859">
        <v>8000599153</v>
      </c>
      <c r="N7859" t="s">
        <v>1039</v>
      </c>
    </row>
    <row r="7860" spans="3:14">
      <c r="C7860">
        <v>2100300025</v>
      </c>
      <c r="D7860">
        <v>6426000</v>
      </c>
      <c r="E7860" t="s">
        <v>188</v>
      </c>
      <c r="F7860">
        <v>5104010112</v>
      </c>
      <c r="G7860" s="13">
        <v>13300</v>
      </c>
      <c r="I7860" t="s">
        <v>150</v>
      </c>
      <c r="J7860" t="s">
        <v>581</v>
      </c>
      <c r="K7860" t="s">
        <v>490</v>
      </c>
      <c r="L7860">
        <v>8000618289</v>
      </c>
      <c r="N7860" t="s">
        <v>1031</v>
      </c>
    </row>
    <row r="7861" spans="3:14">
      <c r="C7861">
        <v>2100300025</v>
      </c>
      <c r="D7861">
        <v>6426000</v>
      </c>
      <c r="E7861" t="s">
        <v>188</v>
      </c>
      <c r="F7861">
        <v>5104010112</v>
      </c>
      <c r="G7861" s="13">
        <v>-133250</v>
      </c>
      <c r="I7861" t="s">
        <v>150</v>
      </c>
      <c r="J7861" t="s">
        <v>940</v>
      </c>
      <c r="K7861" t="s">
        <v>490</v>
      </c>
      <c r="L7861">
        <v>8000652924</v>
      </c>
      <c r="N7861" t="s">
        <v>1031</v>
      </c>
    </row>
    <row r="7862" spans="3:14">
      <c r="C7862">
        <v>2100300025</v>
      </c>
      <c r="D7862">
        <v>6426000</v>
      </c>
      <c r="E7862" t="s">
        <v>188</v>
      </c>
      <c r="F7862">
        <v>5104010112</v>
      </c>
      <c r="G7862" s="13">
        <v>-133250</v>
      </c>
      <c r="I7862" t="s">
        <v>150</v>
      </c>
      <c r="J7862" t="s">
        <v>583</v>
      </c>
      <c r="K7862" t="s">
        <v>490</v>
      </c>
      <c r="L7862">
        <v>8000798803</v>
      </c>
      <c r="N7862" t="s">
        <v>1031</v>
      </c>
    </row>
    <row r="7863" spans="3:14">
      <c r="C7863">
        <v>2100300025</v>
      </c>
      <c r="D7863">
        <v>6426000</v>
      </c>
      <c r="E7863" t="s">
        <v>188</v>
      </c>
      <c r="F7863">
        <v>5104010112</v>
      </c>
      <c r="G7863" s="13">
        <v>-13300</v>
      </c>
      <c r="I7863" t="s">
        <v>150</v>
      </c>
      <c r="J7863" t="s">
        <v>583</v>
      </c>
      <c r="K7863" t="s">
        <v>490</v>
      </c>
      <c r="L7863">
        <v>8000792224</v>
      </c>
      <c r="N7863" t="s">
        <v>1031</v>
      </c>
    </row>
    <row r="7864" spans="3:14">
      <c r="C7864">
        <v>2100300025</v>
      </c>
      <c r="D7864">
        <v>6426000</v>
      </c>
      <c r="E7864" t="s">
        <v>188</v>
      </c>
      <c r="F7864">
        <v>5104010112</v>
      </c>
      <c r="G7864" s="13">
        <v>133250</v>
      </c>
      <c r="I7864" t="s">
        <v>150</v>
      </c>
      <c r="J7864" t="s">
        <v>940</v>
      </c>
      <c r="K7864" t="s">
        <v>490</v>
      </c>
      <c r="L7864">
        <v>8000646529</v>
      </c>
      <c r="N7864" t="s">
        <v>1031</v>
      </c>
    </row>
    <row r="7865" spans="3:14">
      <c r="C7865">
        <v>2100300025</v>
      </c>
      <c r="D7865">
        <v>6426000</v>
      </c>
      <c r="E7865" t="s">
        <v>188</v>
      </c>
      <c r="F7865">
        <v>5104010112</v>
      </c>
      <c r="G7865" s="13">
        <v>495475</v>
      </c>
      <c r="I7865" t="s">
        <v>150</v>
      </c>
      <c r="J7865" t="s">
        <v>842</v>
      </c>
      <c r="K7865" t="s">
        <v>490</v>
      </c>
      <c r="L7865">
        <v>8000714863</v>
      </c>
      <c r="N7865" t="s">
        <v>1031</v>
      </c>
    </row>
    <row r="7866" spans="3:14">
      <c r="C7866">
        <v>2100300025</v>
      </c>
      <c r="D7866">
        <v>6426000</v>
      </c>
      <c r="E7866" t="s">
        <v>188</v>
      </c>
      <c r="F7866">
        <v>5104010112</v>
      </c>
      <c r="G7866" s="13">
        <v>10200</v>
      </c>
      <c r="I7866" t="s">
        <v>150</v>
      </c>
      <c r="J7866" t="s">
        <v>943</v>
      </c>
      <c r="K7866" t="s">
        <v>490</v>
      </c>
      <c r="L7866">
        <v>8000629682</v>
      </c>
      <c r="N7866" t="s">
        <v>1031</v>
      </c>
    </row>
    <row r="7867" spans="3:14">
      <c r="C7867">
        <v>2100300025</v>
      </c>
      <c r="D7867">
        <v>6426000</v>
      </c>
      <c r="E7867" t="s">
        <v>188</v>
      </c>
      <c r="F7867">
        <v>5104010112</v>
      </c>
      <c r="G7867" s="13">
        <v>31000</v>
      </c>
      <c r="I7867" t="s">
        <v>150</v>
      </c>
      <c r="J7867" t="s">
        <v>944</v>
      </c>
      <c r="K7867" t="s">
        <v>490</v>
      </c>
      <c r="L7867">
        <v>8000688209</v>
      </c>
      <c r="N7867" t="s">
        <v>1031</v>
      </c>
    </row>
    <row r="7868" spans="3:14">
      <c r="C7868">
        <v>2100300025</v>
      </c>
      <c r="D7868">
        <v>6426000</v>
      </c>
      <c r="E7868" t="s">
        <v>188</v>
      </c>
      <c r="F7868">
        <v>5104010112</v>
      </c>
      <c r="G7868" s="13">
        <v>33800</v>
      </c>
      <c r="I7868" t="s">
        <v>150</v>
      </c>
      <c r="J7868" t="s">
        <v>561</v>
      </c>
      <c r="K7868" t="s">
        <v>490</v>
      </c>
      <c r="L7868">
        <v>8000681720</v>
      </c>
      <c r="N7868" t="s">
        <v>1039</v>
      </c>
    </row>
    <row r="7869" spans="3:14">
      <c r="C7869">
        <v>2100300025</v>
      </c>
      <c r="D7869">
        <v>6426000</v>
      </c>
      <c r="E7869" t="s">
        <v>188</v>
      </c>
      <c r="F7869">
        <v>5104010112</v>
      </c>
      <c r="G7869" s="13">
        <v>13300</v>
      </c>
      <c r="I7869" t="s">
        <v>150</v>
      </c>
      <c r="J7869" t="s">
        <v>583</v>
      </c>
      <c r="K7869" t="s">
        <v>490</v>
      </c>
      <c r="L7869">
        <v>8000766622</v>
      </c>
      <c r="N7869" t="s">
        <v>1031</v>
      </c>
    </row>
    <row r="7870" spans="3:14">
      <c r="C7870">
        <v>2100300025</v>
      </c>
      <c r="D7870">
        <v>6426000</v>
      </c>
      <c r="E7870" t="s">
        <v>188</v>
      </c>
      <c r="F7870">
        <v>5104010112</v>
      </c>
      <c r="G7870" s="13">
        <v>133250</v>
      </c>
      <c r="I7870" t="s">
        <v>150</v>
      </c>
      <c r="J7870" t="s">
        <v>583</v>
      </c>
      <c r="K7870" t="s">
        <v>490</v>
      </c>
      <c r="L7870">
        <v>8000790733</v>
      </c>
      <c r="N7870" t="s">
        <v>1031</v>
      </c>
    </row>
    <row r="7871" spans="3:14">
      <c r="C7871">
        <v>2100300025</v>
      </c>
      <c r="D7871">
        <v>6426000</v>
      </c>
      <c r="E7871" t="s">
        <v>188</v>
      </c>
      <c r="F7871">
        <v>5104010112</v>
      </c>
      <c r="G7871" s="13">
        <v>13300</v>
      </c>
      <c r="I7871" t="s">
        <v>150</v>
      </c>
      <c r="J7871" t="s">
        <v>583</v>
      </c>
      <c r="K7871" t="s">
        <v>490</v>
      </c>
      <c r="L7871">
        <v>8000792725</v>
      </c>
      <c r="N7871" t="s">
        <v>1031</v>
      </c>
    </row>
    <row r="7872" spans="3:14">
      <c r="C7872">
        <v>2100300025</v>
      </c>
      <c r="D7872">
        <v>6426000</v>
      </c>
      <c r="E7872" t="s">
        <v>188</v>
      </c>
      <c r="F7872">
        <v>5104010112</v>
      </c>
      <c r="G7872" s="13">
        <v>-11770</v>
      </c>
      <c r="I7872" t="s">
        <v>150</v>
      </c>
      <c r="J7872" t="s">
        <v>847</v>
      </c>
      <c r="K7872" t="s">
        <v>490</v>
      </c>
      <c r="L7872">
        <v>8000790086</v>
      </c>
      <c r="N7872" t="s">
        <v>1031</v>
      </c>
    </row>
    <row r="7873" spans="3:14">
      <c r="C7873">
        <v>2100300025</v>
      </c>
      <c r="D7873">
        <v>6426000</v>
      </c>
      <c r="E7873" t="s">
        <v>188</v>
      </c>
      <c r="F7873">
        <v>5104010112</v>
      </c>
      <c r="G7873" s="13">
        <v>-322500</v>
      </c>
      <c r="I7873" t="s">
        <v>150</v>
      </c>
      <c r="J7873" t="s">
        <v>585</v>
      </c>
      <c r="K7873" t="s">
        <v>490</v>
      </c>
      <c r="L7873">
        <v>8000954475</v>
      </c>
      <c r="N7873" t="s">
        <v>1031</v>
      </c>
    </row>
    <row r="7874" spans="3:14">
      <c r="C7874">
        <v>2100300025</v>
      </c>
      <c r="D7874">
        <v>6426000</v>
      </c>
      <c r="E7874" t="s">
        <v>188</v>
      </c>
      <c r="F7874">
        <v>5104010112</v>
      </c>
      <c r="G7874" s="13">
        <v>-101400</v>
      </c>
      <c r="I7874" t="s">
        <v>150</v>
      </c>
      <c r="J7874" t="s">
        <v>585</v>
      </c>
      <c r="K7874" t="s">
        <v>490</v>
      </c>
      <c r="L7874">
        <v>8000954108</v>
      </c>
      <c r="N7874" t="s">
        <v>1031</v>
      </c>
    </row>
    <row r="7875" spans="3:14">
      <c r="C7875">
        <v>2100300025</v>
      </c>
      <c r="D7875">
        <v>6426000</v>
      </c>
      <c r="E7875" t="s">
        <v>188</v>
      </c>
      <c r="F7875">
        <v>5104010112</v>
      </c>
      <c r="G7875" s="13">
        <v>-11000</v>
      </c>
      <c r="I7875" t="s">
        <v>150</v>
      </c>
      <c r="J7875" t="s">
        <v>585</v>
      </c>
      <c r="K7875" t="s">
        <v>490</v>
      </c>
      <c r="L7875">
        <v>8000939821</v>
      </c>
      <c r="N7875" t="s">
        <v>1031</v>
      </c>
    </row>
    <row r="7876" spans="3:14">
      <c r="C7876">
        <v>2100300025</v>
      </c>
      <c r="D7876">
        <v>6426000</v>
      </c>
      <c r="E7876" t="s">
        <v>188</v>
      </c>
      <c r="F7876">
        <v>5104010112</v>
      </c>
      <c r="G7876" s="13">
        <v>11000</v>
      </c>
      <c r="I7876" t="s">
        <v>150</v>
      </c>
      <c r="J7876" t="s">
        <v>585</v>
      </c>
      <c r="K7876" t="s">
        <v>490</v>
      </c>
      <c r="L7876">
        <v>8000920046</v>
      </c>
      <c r="N7876" t="s">
        <v>1031</v>
      </c>
    </row>
    <row r="7877" spans="3:14">
      <c r="C7877">
        <v>2100300025</v>
      </c>
      <c r="D7877">
        <v>6426000</v>
      </c>
      <c r="E7877" t="s">
        <v>188</v>
      </c>
      <c r="F7877">
        <v>5104010112</v>
      </c>
      <c r="G7877" s="13">
        <v>16200</v>
      </c>
      <c r="I7877" t="s">
        <v>150</v>
      </c>
      <c r="J7877" t="s">
        <v>952</v>
      </c>
      <c r="K7877" t="s">
        <v>490</v>
      </c>
      <c r="L7877">
        <v>8000805877</v>
      </c>
      <c r="N7877" t="s">
        <v>1031</v>
      </c>
    </row>
    <row r="7878" spans="3:14">
      <c r="C7878">
        <v>2100300025</v>
      </c>
      <c r="D7878">
        <v>6426000</v>
      </c>
      <c r="E7878" t="s">
        <v>188</v>
      </c>
      <c r="F7878">
        <v>5104010112</v>
      </c>
      <c r="G7878" s="13">
        <v>13300</v>
      </c>
      <c r="I7878" t="s">
        <v>150</v>
      </c>
      <c r="J7878" t="s">
        <v>948</v>
      </c>
      <c r="K7878" t="s">
        <v>490</v>
      </c>
      <c r="L7878">
        <v>8000798332</v>
      </c>
      <c r="N7878" t="s">
        <v>1031</v>
      </c>
    </row>
    <row r="7879" spans="3:14">
      <c r="C7879">
        <v>2100300025</v>
      </c>
      <c r="D7879">
        <v>6426000</v>
      </c>
      <c r="E7879" t="s">
        <v>188</v>
      </c>
      <c r="F7879">
        <v>5104010112</v>
      </c>
      <c r="G7879" s="13">
        <v>133250</v>
      </c>
      <c r="I7879" t="s">
        <v>150</v>
      </c>
      <c r="J7879" t="s">
        <v>948</v>
      </c>
      <c r="K7879" t="s">
        <v>490</v>
      </c>
      <c r="L7879">
        <v>8000798805</v>
      </c>
      <c r="N7879" t="s">
        <v>1031</v>
      </c>
    </row>
    <row r="7880" spans="3:14">
      <c r="C7880">
        <v>2100300025</v>
      </c>
      <c r="D7880">
        <v>6426000</v>
      </c>
      <c r="E7880" t="s">
        <v>188</v>
      </c>
      <c r="F7880">
        <v>5104010112</v>
      </c>
      <c r="G7880" s="13">
        <v>11770</v>
      </c>
      <c r="I7880" t="s">
        <v>150</v>
      </c>
      <c r="J7880" t="s">
        <v>847</v>
      </c>
      <c r="K7880" t="s">
        <v>490</v>
      </c>
      <c r="L7880">
        <v>8000788696</v>
      </c>
      <c r="N7880" t="s">
        <v>1031</v>
      </c>
    </row>
    <row r="7881" spans="3:14">
      <c r="C7881">
        <v>2100300025</v>
      </c>
      <c r="D7881">
        <v>6426000</v>
      </c>
      <c r="E7881" t="s">
        <v>188</v>
      </c>
      <c r="F7881">
        <v>5104010112</v>
      </c>
      <c r="G7881" s="13">
        <v>7200</v>
      </c>
      <c r="I7881" t="s">
        <v>150</v>
      </c>
      <c r="J7881" t="s">
        <v>585</v>
      </c>
      <c r="K7881" t="s">
        <v>490</v>
      </c>
      <c r="L7881">
        <v>8000925391</v>
      </c>
      <c r="N7881" t="s">
        <v>1031</v>
      </c>
    </row>
    <row r="7882" spans="3:14">
      <c r="C7882">
        <v>2100300025</v>
      </c>
      <c r="D7882">
        <v>6426000</v>
      </c>
      <c r="E7882" t="s">
        <v>188</v>
      </c>
      <c r="F7882">
        <v>5104010112</v>
      </c>
      <c r="G7882" s="13">
        <v>6000</v>
      </c>
      <c r="I7882" t="s">
        <v>150</v>
      </c>
      <c r="J7882" t="s">
        <v>585</v>
      </c>
      <c r="K7882" t="s">
        <v>490</v>
      </c>
      <c r="L7882">
        <v>8000926054</v>
      </c>
      <c r="N7882" t="s">
        <v>1031</v>
      </c>
    </row>
    <row r="7883" spans="3:14">
      <c r="C7883">
        <v>2100300025</v>
      </c>
      <c r="D7883">
        <v>6426000</v>
      </c>
      <c r="E7883" t="s">
        <v>188</v>
      </c>
      <c r="F7883">
        <v>5104010112</v>
      </c>
      <c r="G7883" s="13">
        <v>16800</v>
      </c>
      <c r="I7883" t="s">
        <v>150</v>
      </c>
      <c r="J7883" t="s">
        <v>962</v>
      </c>
      <c r="K7883" t="s">
        <v>490</v>
      </c>
      <c r="L7883">
        <v>8001036185</v>
      </c>
      <c r="N7883" t="s">
        <v>1031</v>
      </c>
    </row>
    <row r="7884" spans="3:14">
      <c r="C7884">
        <v>2100300025</v>
      </c>
      <c r="D7884">
        <v>6426000</v>
      </c>
      <c r="E7884" t="s">
        <v>188</v>
      </c>
      <c r="F7884">
        <v>5104010112</v>
      </c>
      <c r="G7884" s="13">
        <v>131000</v>
      </c>
      <c r="I7884" t="s">
        <v>150</v>
      </c>
      <c r="J7884" t="s">
        <v>963</v>
      </c>
      <c r="K7884" t="s">
        <v>490</v>
      </c>
      <c r="L7884">
        <v>8000954771</v>
      </c>
      <c r="N7884" t="s">
        <v>1031</v>
      </c>
    </row>
    <row r="7885" spans="3:14">
      <c r="C7885">
        <v>2100300025</v>
      </c>
      <c r="D7885">
        <v>6426000</v>
      </c>
      <c r="E7885" t="s">
        <v>188</v>
      </c>
      <c r="F7885">
        <v>5104010112</v>
      </c>
      <c r="G7885" s="13">
        <v>-10200</v>
      </c>
      <c r="I7885" t="s">
        <v>150</v>
      </c>
      <c r="J7885" t="s">
        <v>1353</v>
      </c>
      <c r="K7885" t="s">
        <v>490</v>
      </c>
      <c r="L7885">
        <v>8001101782</v>
      </c>
      <c r="N7885" t="s">
        <v>1031</v>
      </c>
    </row>
    <row r="7886" spans="3:14">
      <c r="C7886">
        <v>2100300025</v>
      </c>
      <c r="D7886">
        <v>6426000</v>
      </c>
      <c r="E7886" t="s">
        <v>188</v>
      </c>
      <c r="F7886">
        <v>5104010112</v>
      </c>
      <c r="G7886" s="13">
        <v>-43335</v>
      </c>
      <c r="I7886" t="s">
        <v>150</v>
      </c>
      <c r="J7886" t="s">
        <v>973</v>
      </c>
      <c r="K7886" t="s">
        <v>490</v>
      </c>
      <c r="L7886">
        <v>8001258725</v>
      </c>
      <c r="N7886" t="s">
        <v>1031</v>
      </c>
    </row>
    <row r="7887" spans="3:14">
      <c r="C7887">
        <v>2100300025</v>
      </c>
      <c r="D7887">
        <v>6426000</v>
      </c>
      <c r="E7887" t="s">
        <v>188</v>
      </c>
      <c r="F7887">
        <v>5104010112</v>
      </c>
      <c r="G7887" s="13">
        <v>-402160</v>
      </c>
      <c r="I7887" t="s">
        <v>150</v>
      </c>
      <c r="J7887" t="s">
        <v>973</v>
      </c>
      <c r="K7887" t="s">
        <v>490</v>
      </c>
      <c r="L7887">
        <v>8001258728</v>
      </c>
      <c r="N7887" t="s">
        <v>1031</v>
      </c>
    </row>
    <row r="7888" spans="3:14">
      <c r="C7888">
        <v>2100300025</v>
      </c>
      <c r="D7888">
        <v>6426000</v>
      </c>
      <c r="E7888" t="s">
        <v>188</v>
      </c>
      <c r="F7888">
        <v>5104010112</v>
      </c>
      <c r="G7888" s="13">
        <v>-13000</v>
      </c>
      <c r="I7888" t="s">
        <v>150</v>
      </c>
      <c r="J7888" t="s">
        <v>1353</v>
      </c>
      <c r="K7888" t="s">
        <v>490</v>
      </c>
      <c r="L7888">
        <v>8001164464</v>
      </c>
      <c r="N7888" t="s">
        <v>1039</v>
      </c>
    </row>
    <row r="7889" spans="3:14">
      <c r="C7889">
        <v>2100300025</v>
      </c>
      <c r="D7889">
        <v>6426000</v>
      </c>
      <c r="E7889" t="s">
        <v>188</v>
      </c>
      <c r="F7889">
        <v>5104010112</v>
      </c>
      <c r="G7889" s="13">
        <v>-26451.599999999999</v>
      </c>
      <c r="I7889" t="s">
        <v>150</v>
      </c>
      <c r="J7889" t="s">
        <v>860</v>
      </c>
      <c r="K7889" t="s">
        <v>490</v>
      </c>
      <c r="L7889">
        <v>8001121659</v>
      </c>
      <c r="N7889" t="s">
        <v>1031</v>
      </c>
    </row>
    <row r="7890" spans="3:14">
      <c r="C7890">
        <v>2100300025</v>
      </c>
      <c r="D7890">
        <v>6426000</v>
      </c>
      <c r="E7890" t="s">
        <v>188</v>
      </c>
      <c r="F7890">
        <v>5104010112</v>
      </c>
      <c r="G7890" s="13">
        <v>-10200</v>
      </c>
      <c r="I7890" t="s">
        <v>150</v>
      </c>
      <c r="J7890" t="s">
        <v>1353</v>
      </c>
      <c r="K7890" t="s">
        <v>490</v>
      </c>
      <c r="L7890">
        <v>8001114245</v>
      </c>
      <c r="N7890" t="s">
        <v>1031</v>
      </c>
    </row>
    <row r="7891" spans="3:14">
      <c r="C7891">
        <v>2100300025</v>
      </c>
      <c r="D7891">
        <v>6426000</v>
      </c>
      <c r="E7891" t="s">
        <v>188</v>
      </c>
      <c r="F7891">
        <v>5104010112</v>
      </c>
      <c r="G7891" s="13">
        <v>13000</v>
      </c>
      <c r="I7891" t="s">
        <v>150</v>
      </c>
      <c r="J7891" t="s">
        <v>1353</v>
      </c>
      <c r="K7891" t="s">
        <v>490</v>
      </c>
      <c r="L7891">
        <v>8001164638</v>
      </c>
      <c r="N7891" t="s">
        <v>1039</v>
      </c>
    </row>
    <row r="7892" spans="3:14">
      <c r="C7892">
        <v>2100300025</v>
      </c>
      <c r="D7892">
        <v>6426000</v>
      </c>
      <c r="E7892" t="s">
        <v>188</v>
      </c>
      <c r="F7892">
        <v>5104010112</v>
      </c>
      <c r="G7892" s="13">
        <v>23500</v>
      </c>
      <c r="I7892" t="s">
        <v>150</v>
      </c>
      <c r="J7892" t="s">
        <v>962</v>
      </c>
      <c r="K7892" t="s">
        <v>490</v>
      </c>
      <c r="L7892">
        <v>8001036192</v>
      </c>
      <c r="N7892" t="s">
        <v>1031</v>
      </c>
    </row>
    <row r="7893" spans="3:14">
      <c r="C7893">
        <v>2100300025</v>
      </c>
      <c r="D7893">
        <v>6426000</v>
      </c>
      <c r="E7893" t="s">
        <v>188</v>
      </c>
      <c r="F7893">
        <v>5104010112</v>
      </c>
      <c r="G7893" s="13">
        <v>8988</v>
      </c>
      <c r="I7893" t="s">
        <v>150</v>
      </c>
      <c r="J7893" t="s">
        <v>965</v>
      </c>
      <c r="K7893" t="s">
        <v>490</v>
      </c>
      <c r="L7893">
        <v>8000996767</v>
      </c>
      <c r="N7893" t="s">
        <v>1031</v>
      </c>
    </row>
    <row r="7894" spans="3:14">
      <c r="C7894">
        <v>2100300025</v>
      </c>
      <c r="D7894">
        <v>6426000</v>
      </c>
      <c r="E7894" t="s">
        <v>188</v>
      </c>
      <c r="F7894">
        <v>5104010112</v>
      </c>
      <c r="G7894" s="13">
        <v>25000</v>
      </c>
      <c r="I7894" t="s">
        <v>150</v>
      </c>
      <c r="J7894" t="s">
        <v>965</v>
      </c>
      <c r="K7894" t="s">
        <v>490</v>
      </c>
      <c r="L7894">
        <v>8000999121</v>
      </c>
      <c r="N7894" t="s">
        <v>1031</v>
      </c>
    </row>
    <row r="7895" spans="3:14">
      <c r="C7895">
        <v>2100300025</v>
      </c>
      <c r="D7895">
        <v>6426000</v>
      </c>
      <c r="E7895" t="s">
        <v>188</v>
      </c>
      <c r="F7895">
        <v>5104010112</v>
      </c>
      <c r="G7895" s="13">
        <v>-133250</v>
      </c>
      <c r="I7895" t="s">
        <v>150</v>
      </c>
      <c r="J7895" t="s">
        <v>971</v>
      </c>
      <c r="K7895" t="s">
        <v>490</v>
      </c>
      <c r="L7895">
        <v>8001164665</v>
      </c>
      <c r="N7895" t="s">
        <v>1031</v>
      </c>
    </row>
    <row r="7896" spans="3:14">
      <c r="C7896">
        <v>2100300025</v>
      </c>
      <c r="D7896">
        <v>6426000</v>
      </c>
      <c r="E7896" t="s">
        <v>188</v>
      </c>
      <c r="F7896">
        <v>5104010112</v>
      </c>
      <c r="G7896" s="13">
        <v>133250</v>
      </c>
      <c r="I7896" t="s">
        <v>150</v>
      </c>
      <c r="J7896" t="s">
        <v>579</v>
      </c>
      <c r="K7896" t="s">
        <v>490</v>
      </c>
      <c r="L7896">
        <v>8000478097</v>
      </c>
      <c r="N7896" t="s">
        <v>1031</v>
      </c>
    </row>
    <row r="7897" spans="3:14">
      <c r="C7897">
        <v>2100300025</v>
      </c>
      <c r="D7897">
        <v>6426000</v>
      </c>
      <c r="E7897" t="s">
        <v>188</v>
      </c>
      <c r="F7897">
        <v>5104010112</v>
      </c>
      <c r="G7897" s="13">
        <v>13100</v>
      </c>
      <c r="I7897" t="s">
        <v>150</v>
      </c>
      <c r="J7897" t="s">
        <v>561</v>
      </c>
      <c r="K7897" t="s">
        <v>490</v>
      </c>
      <c r="L7897">
        <v>8000664581</v>
      </c>
      <c r="N7897" t="s">
        <v>1042</v>
      </c>
    </row>
    <row r="7898" spans="3:14">
      <c r="C7898">
        <v>2100300025</v>
      </c>
      <c r="D7898">
        <v>6426000</v>
      </c>
      <c r="E7898" t="s">
        <v>188</v>
      </c>
      <c r="F7898">
        <v>5104010112</v>
      </c>
      <c r="G7898" s="13">
        <v>10200</v>
      </c>
      <c r="I7898" t="s">
        <v>150</v>
      </c>
      <c r="J7898" t="s">
        <v>583</v>
      </c>
      <c r="K7898" t="s">
        <v>490</v>
      </c>
      <c r="L7898">
        <v>8000758322</v>
      </c>
      <c r="N7898" t="s">
        <v>1031</v>
      </c>
    </row>
    <row r="7899" spans="3:14">
      <c r="C7899">
        <v>2100300025</v>
      </c>
      <c r="D7899">
        <v>6426000</v>
      </c>
      <c r="E7899" t="s">
        <v>188</v>
      </c>
      <c r="F7899">
        <v>5104010112</v>
      </c>
      <c r="G7899" s="13">
        <v>133250</v>
      </c>
      <c r="I7899" t="s">
        <v>150</v>
      </c>
      <c r="J7899" t="s">
        <v>583</v>
      </c>
      <c r="K7899" t="s">
        <v>490</v>
      </c>
      <c r="L7899">
        <v>8000758646</v>
      </c>
      <c r="N7899" t="s">
        <v>1031</v>
      </c>
    </row>
    <row r="7900" spans="3:14">
      <c r="C7900">
        <v>2100300025</v>
      </c>
      <c r="D7900">
        <v>6426000</v>
      </c>
      <c r="E7900" t="s">
        <v>188</v>
      </c>
      <c r="F7900">
        <v>5104010112</v>
      </c>
      <c r="G7900" s="13">
        <v>-101400</v>
      </c>
      <c r="I7900" t="s">
        <v>150</v>
      </c>
      <c r="J7900" t="s">
        <v>1277</v>
      </c>
      <c r="K7900" t="s">
        <v>490</v>
      </c>
      <c r="L7900">
        <v>8000829040</v>
      </c>
      <c r="N7900" t="s">
        <v>1031</v>
      </c>
    </row>
    <row r="7901" spans="3:14">
      <c r="C7901">
        <v>2100300025</v>
      </c>
      <c r="D7901">
        <v>6426000</v>
      </c>
      <c r="E7901" t="s">
        <v>188</v>
      </c>
      <c r="F7901">
        <v>5104010112</v>
      </c>
      <c r="G7901" s="13">
        <v>-101400</v>
      </c>
      <c r="I7901" t="s">
        <v>150</v>
      </c>
      <c r="J7901" t="s">
        <v>952</v>
      </c>
      <c r="K7901" t="s">
        <v>490</v>
      </c>
      <c r="L7901">
        <v>8000818552</v>
      </c>
      <c r="N7901" t="s">
        <v>1031</v>
      </c>
    </row>
    <row r="7902" spans="3:14">
      <c r="C7902">
        <v>2100300025</v>
      </c>
      <c r="D7902">
        <v>6426000</v>
      </c>
      <c r="E7902" t="s">
        <v>188</v>
      </c>
      <c r="F7902">
        <v>5104010112</v>
      </c>
      <c r="G7902" s="13">
        <v>-238180</v>
      </c>
      <c r="I7902" t="s">
        <v>150</v>
      </c>
      <c r="J7902" t="s">
        <v>585</v>
      </c>
      <c r="K7902" t="s">
        <v>490</v>
      </c>
      <c r="L7902">
        <v>8000953684</v>
      </c>
      <c r="N7902" t="s">
        <v>1031</v>
      </c>
    </row>
    <row r="7903" spans="3:14">
      <c r="C7903">
        <v>2100300025</v>
      </c>
      <c r="D7903">
        <v>6426000</v>
      </c>
      <c r="E7903" t="s">
        <v>188</v>
      </c>
      <c r="F7903">
        <v>5104010112</v>
      </c>
      <c r="G7903" s="13">
        <v>-6000</v>
      </c>
      <c r="I7903" t="s">
        <v>150</v>
      </c>
      <c r="J7903" t="s">
        <v>585</v>
      </c>
      <c r="K7903" t="s">
        <v>490</v>
      </c>
      <c r="L7903">
        <v>8000930169</v>
      </c>
      <c r="N7903" t="s">
        <v>1031</v>
      </c>
    </row>
    <row r="7904" spans="3:14">
      <c r="C7904">
        <v>2100300025</v>
      </c>
      <c r="D7904">
        <v>6426000</v>
      </c>
      <c r="E7904" t="s">
        <v>188</v>
      </c>
      <c r="F7904">
        <v>5104010112</v>
      </c>
      <c r="G7904" s="13">
        <v>101400</v>
      </c>
      <c r="I7904" t="s">
        <v>150</v>
      </c>
      <c r="J7904" t="s">
        <v>946</v>
      </c>
      <c r="K7904" t="s">
        <v>490</v>
      </c>
      <c r="L7904">
        <v>8000829042</v>
      </c>
      <c r="N7904" t="s">
        <v>1031</v>
      </c>
    </row>
    <row r="7905" spans="3:14">
      <c r="C7905">
        <v>2100300025</v>
      </c>
      <c r="D7905">
        <v>6426000</v>
      </c>
      <c r="E7905" t="s">
        <v>188</v>
      </c>
      <c r="F7905">
        <v>5104010112</v>
      </c>
      <c r="G7905" s="13">
        <v>101400</v>
      </c>
      <c r="I7905" t="s">
        <v>150</v>
      </c>
      <c r="J7905" t="s">
        <v>1277</v>
      </c>
      <c r="K7905" t="s">
        <v>490</v>
      </c>
      <c r="L7905">
        <v>8000818141</v>
      </c>
      <c r="N7905" t="s">
        <v>1031</v>
      </c>
    </row>
    <row r="7906" spans="3:14">
      <c r="C7906">
        <v>2100300025</v>
      </c>
      <c r="D7906">
        <v>6426000</v>
      </c>
      <c r="E7906" t="s">
        <v>188</v>
      </c>
      <c r="F7906">
        <v>5104010112</v>
      </c>
      <c r="G7906" s="13">
        <v>86135</v>
      </c>
      <c r="I7906" t="s">
        <v>150</v>
      </c>
      <c r="J7906" t="s">
        <v>955</v>
      </c>
      <c r="K7906" t="s">
        <v>490</v>
      </c>
      <c r="L7906">
        <v>8000878074</v>
      </c>
      <c r="N7906" t="s">
        <v>1031</v>
      </c>
    </row>
    <row r="7907" spans="3:14">
      <c r="C7907">
        <v>2100300025</v>
      </c>
      <c r="D7907">
        <v>6426000</v>
      </c>
      <c r="E7907" t="s">
        <v>188</v>
      </c>
      <c r="F7907">
        <v>5104010112</v>
      </c>
      <c r="G7907" s="13">
        <v>10200</v>
      </c>
      <c r="I7907" t="s">
        <v>150</v>
      </c>
      <c r="J7907" t="s">
        <v>585</v>
      </c>
      <c r="K7907" t="s">
        <v>490</v>
      </c>
      <c r="L7907">
        <v>8000920039</v>
      </c>
      <c r="N7907" t="s">
        <v>1031</v>
      </c>
    </row>
    <row r="7908" spans="3:14">
      <c r="C7908">
        <v>2100300025</v>
      </c>
      <c r="D7908">
        <v>6426000</v>
      </c>
      <c r="E7908" t="s">
        <v>188</v>
      </c>
      <c r="F7908">
        <v>5104010112</v>
      </c>
      <c r="G7908" s="13">
        <v>133250</v>
      </c>
      <c r="I7908" t="s">
        <v>150</v>
      </c>
      <c r="J7908" t="s">
        <v>585</v>
      </c>
      <c r="K7908" t="s">
        <v>490</v>
      </c>
      <c r="L7908">
        <v>8000920051</v>
      </c>
      <c r="N7908" t="s">
        <v>1031</v>
      </c>
    </row>
    <row r="7909" spans="3:14">
      <c r="C7909">
        <v>2100300025</v>
      </c>
      <c r="D7909">
        <v>6426000</v>
      </c>
      <c r="E7909" t="s">
        <v>188</v>
      </c>
      <c r="F7909">
        <v>5104010112</v>
      </c>
      <c r="G7909" s="13">
        <v>11770</v>
      </c>
      <c r="I7909" t="s">
        <v>150</v>
      </c>
      <c r="J7909" t="s">
        <v>847</v>
      </c>
      <c r="K7909" t="s">
        <v>490</v>
      </c>
      <c r="L7909">
        <v>8000767221</v>
      </c>
      <c r="N7909" t="s">
        <v>1031</v>
      </c>
    </row>
    <row r="7910" spans="3:14">
      <c r="C7910">
        <v>2100300025</v>
      </c>
      <c r="D7910">
        <v>6426000</v>
      </c>
      <c r="E7910" t="s">
        <v>188</v>
      </c>
      <c r="F7910">
        <v>5104010112</v>
      </c>
      <c r="G7910" s="13">
        <v>5500</v>
      </c>
      <c r="I7910" t="s">
        <v>150</v>
      </c>
      <c r="J7910" t="s">
        <v>848</v>
      </c>
      <c r="K7910" t="s">
        <v>490</v>
      </c>
      <c r="L7910">
        <v>8000873439</v>
      </c>
      <c r="N7910" t="s">
        <v>1031</v>
      </c>
    </row>
    <row r="7911" spans="3:14">
      <c r="C7911">
        <v>2100300025</v>
      </c>
      <c r="D7911">
        <v>6426000</v>
      </c>
      <c r="E7911" t="s">
        <v>188</v>
      </c>
      <c r="F7911">
        <v>5104010112</v>
      </c>
      <c r="G7911" s="13">
        <v>50000</v>
      </c>
      <c r="I7911" t="s">
        <v>150</v>
      </c>
      <c r="J7911" t="s">
        <v>954</v>
      </c>
      <c r="K7911" t="s">
        <v>490</v>
      </c>
      <c r="L7911">
        <v>8000799009</v>
      </c>
      <c r="N7911" t="s">
        <v>1031</v>
      </c>
    </row>
    <row r="7912" spans="3:14">
      <c r="C7912">
        <v>2100300025</v>
      </c>
      <c r="D7912">
        <v>6426000</v>
      </c>
      <c r="E7912" t="s">
        <v>188</v>
      </c>
      <c r="F7912">
        <v>5104010112</v>
      </c>
      <c r="G7912" s="13">
        <v>59100</v>
      </c>
      <c r="I7912" t="s">
        <v>150</v>
      </c>
      <c r="J7912" t="s">
        <v>585</v>
      </c>
      <c r="K7912" t="s">
        <v>490</v>
      </c>
      <c r="L7912">
        <v>8000909842</v>
      </c>
      <c r="N7912" t="s">
        <v>1031</v>
      </c>
    </row>
    <row r="7913" spans="3:14">
      <c r="C7913">
        <v>2100300025</v>
      </c>
      <c r="D7913">
        <v>6426000</v>
      </c>
      <c r="E7913" t="s">
        <v>188</v>
      </c>
      <c r="F7913">
        <v>5104010112</v>
      </c>
      <c r="G7913" s="13">
        <v>35650</v>
      </c>
      <c r="I7913" t="s">
        <v>150</v>
      </c>
      <c r="J7913" t="s">
        <v>948</v>
      </c>
      <c r="K7913" t="s">
        <v>490</v>
      </c>
      <c r="L7913">
        <v>8000791895</v>
      </c>
      <c r="N7913" t="s">
        <v>1031</v>
      </c>
    </row>
    <row r="7914" spans="3:14">
      <c r="C7914">
        <v>2100300025</v>
      </c>
      <c r="D7914">
        <v>6426000</v>
      </c>
      <c r="E7914" t="s">
        <v>188</v>
      </c>
      <c r="F7914">
        <v>5104010112</v>
      </c>
      <c r="G7914" s="13">
        <v>101400</v>
      </c>
      <c r="I7914" t="s">
        <v>150</v>
      </c>
      <c r="J7914" t="s">
        <v>585</v>
      </c>
      <c r="K7914" t="s">
        <v>490</v>
      </c>
      <c r="L7914">
        <v>8000939383</v>
      </c>
      <c r="N7914" t="s">
        <v>1031</v>
      </c>
    </row>
    <row r="7915" spans="3:14">
      <c r="C7915">
        <v>2100300025</v>
      </c>
      <c r="D7915">
        <v>6426000</v>
      </c>
      <c r="E7915" t="s">
        <v>188</v>
      </c>
      <c r="F7915">
        <v>5104010112</v>
      </c>
      <c r="G7915" s="13">
        <v>238180</v>
      </c>
      <c r="I7915" t="s">
        <v>150</v>
      </c>
      <c r="J7915" t="s">
        <v>585</v>
      </c>
      <c r="K7915" t="s">
        <v>490</v>
      </c>
      <c r="L7915">
        <v>8000954145</v>
      </c>
      <c r="N7915" t="s">
        <v>1031</v>
      </c>
    </row>
    <row r="7916" spans="3:14">
      <c r="C7916">
        <v>2100300025</v>
      </c>
      <c r="D7916">
        <v>6426000</v>
      </c>
      <c r="E7916" t="s">
        <v>188</v>
      </c>
      <c r="F7916">
        <v>5104010112</v>
      </c>
      <c r="G7916" s="13">
        <v>238180</v>
      </c>
      <c r="I7916" t="s">
        <v>150</v>
      </c>
      <c r="J7916" t="s">
        <v>585</v>
      </c>
      <c r="K7916" t="s">
        <v>490</v>
      </c>
      <c r="L7916">
        <v>8000940384</v>
      </c>
      <c r="N7916" t="s">
        <v>1031</v>
      </c>
    </row>
    <row r="7917" spans="3:14">
      <c r="C7917">
        <v>2100300025</v>
      </c>
      <c r="D7917">
        <v>6426000</v>
      </c>
      <c r="E7917" t="s">
        <v>188</v>
      </c>
      <c r="F7917">
        <v>5104010112</v>
      </c>
      <c r="G7917" s="13">
        <v>101400</v>
      </c>
      <c r="I7917" t="s">
        <v>150</v>
      </c>
      <c r="J7917" t="s">
        <v>585</v>
      </c>
      <c r="K7917" t="s">
        <v>490</v>
      </c>
      <c r="L7917">
        <v>8000939308</v>
      </c>
      <c r="N7917" t="s">
        <v>1031</v>
      </c>
    </row>
    <row r="7918" spans="3:14">
      <c r="C7918">
        <v>2100300025</v>
      </c>
      <c r="D7918">
        <v>6426000</v>
      </c>
      <c r="E7918" t="s">
        <v>188</v>
      </c>
      <c r="F7918">
        <v>5104010112</v>
      </c>
      <c r="G7918" s="13">
        <v>11000</v>
      </c>
      <c r="I7918" t="s">
        <v>150</v>
      </c>
      <c r="J7918" t="s">
        <v>585</v>
      </c>
      <c r="K7918" t="s">
        <v>490</v>
      </c>
      <c r="L7918">
        <v>8000940395</v>
      </c>
      <c r="N7918" t="s">
        <v>1031</v>
      </c>
    </row>
    <row r="7919" spans="3:14">
      <c r="C7919">
        <v>2100300025</v>
      </c>
      <c r="D7919">
        <v>6426000</v>
      </c>
      <c r="E7919" t="s">
        <v>188</v>
      </c>
      <c r="F7919">
        <v>5104010112</v>
      </c>
      <c r="G7919" s="13">
        <v>13300</v>
      </c>
      <c r="I7919" t="s">
        <v>150</v>
      </c>
      <c r="J7919" t="s">
        <v>585</v>
      </c>
      <c r="K7919" t="s">
        <v>490</v>
      </c>
      <c r="L7919">
        <v>8000936016</v>
      </c>
      <c r="N7919" t="s">
        <v>1031</v>
      </c>
    </row>
    <row r="7920" spans="3:14">
      <c r="C7920">
        <v>2100300025</v>
      </c>
      <c r="D7920">
        <v>6426000</v>
      </c>
      <c r="E7920" t="s">
        <v>188</v>
      </c>
      <c r="F7920">
        <v>5104010112</v>
      </c>
      <c r="G7920" s="13">
        <v>322500</v>
      </c>
      <c r="I7920" t="s">
        <v>150</v>
      </c>
      <c r="J7920" t="s">
        <v>585</v>
      </c>
      <c r="K7920" t="s">
        <v>490</v>
      </c>
      <c r="L7920">
        <v>8000928510</v>
      </c>
      <c r="N7920" t="s">
        <v>1031</v>
      </c>
    </row>
    <row r="7921" spans="3:14">
      <c r="C7921">
        <v>2100300025</v>
      </c>
      <c r="D7921">
        <v>6426000</v>
      </c>
      <c r="E7921" t="s">
        <v>188</v>
      </c>
      <c r="F7921">
        <v>5104010112</v>
      </c>
      <c r="G7921" s="13">
        <v>133250</v>
      </c>
      <c r="I7921" t="s">
        <v>150</v>
      </c>
      <c r="J7921" t="s">
        <v>587</v>
      </c>
      <c r="K7921" t="s">
        <v>490</v>
      </c>
      <c r="L7921">
        <v>8001110495</v>
      </c>
      <c r="N7921" t="s">
        <v>1031</v>
      </c>
    </row>
    <row r="7922" spans="3:14">
      <c r="C7922">
        <v>2100300025</v>
      </c>
      <c r="D7922">
        <v>6426000</v>
      </c>
      <c r="E7922" t="s">
        <v>188</v>
      </c>
      <c r="F7922">
        <v>5104010112</v>
      </c>
      <c r="G7922" s="13">
        <v>11200</v>
      </c>
      <c r="I7922" t="s">
        <v>150</v>
      </c>
      <c r="J7922" t="s">
        <v>851</v>
      </c>
      <c r="K7922" t="s">
        <v>490</v>
      </c>
      <c r="L7922">
        <v>8001036612</v>
      </c>
      <c r="N7922" t="s">
        <v>1031</v>
      </c>
    </row>
    <row r="7923" spans="3:14">
      <c r="C7923">
        <v>2100300025</v>
      </c>
      <c r="D7923">
        <v>6426000</v>
      </c>
      <c r="E7923" t="s">
        <v>188</v>
      </c>
      <c r="F7923">
        <v>5104010112</v>
      </c>
      <c r="G7923" s="13">
        <v>23500</v>
      </c>
      <c r="I7923" t="s">
        <v>150</v>
      </c>
      <c r="J7923" t="s">
        <v>851</v>
      </c>
      <c r="K7923" t="s">
        <v>490</v>
      </c>
      <c r="L7923">
        <v>8001036617</v>
      </c>
      <c r="N7923" t="s">
        <v>1031</v>
      </c>
    </row>
    <row r="7924" spans="3:14">
      <c r="C7924">
        <v>2100300025</v>
      </c>
      <c r="D7924">
        <v>6426000</v>
      </c>
      <c r="E7924" t="s">
        <v>188</v>
      </c>
      <c r="F7924">
        <v>5104010112</v>
      </c>
      <c r="G7924" s="13">
        <v>9000</v>
      </c>
      <c r="I7924" t="s">
        <v>150</v>
      </c>
      <c r="J7924" t="s">
        <v>852</v>
      </c>
      <c r="K7924" t="s">
        <v>490</v>
      </c>
      <c r="L7924">
        <v>8000951564</v>
      </c>
      <c r="N7924" t="s">
        <v>1031</v>
      </c>
    </row>
    <row r="7925" spans="3:14">
      <c r="C7925">
        <v>2100300025</v>
      </c>
      <c r="D7925">
        <v>6426000</v>
      </c>
      <c r="E7925" t="s">
        <v>188</v>
      </c>
      <c r="F7925">
        <v>5104010112</v>
      </c>
      <c r="G7925" s="13">
        <v>23500</v>
      </c>
      <c r="I7925" t="s">
        <v>150</v>
      </c>
      <c r="J7925" t="s">
        <v>851</v>
      </c>
      <c r="K7925" t="s">
        <v>490</v>
      </c>
      <c r="L7925">
        <v>8001058722</v>
      </c>
      <c r="N7925" t="s">
        <v>1031</v>
      </c>
    </row>
    <row r="7926" spans="3:14">
      <c r="C7926">
        <v>2100300025</v>
      </c>
      <c r="D7926">
        <v>6426000</v>
      </c>
      <c r="E7926" t="s">
        <v>188</v>
      </c>
      <c r="F7926">
        <v>5104010112</v>
      </c>
      <c r="G7926" s="13">
        <v>11626</v>
      </c>
      <c r="I7926" t="s">
        <v>150</v>
      </c>
      <c r="J7926" t="s">
        <v>958</v>
      </c>
      <c r="K7926" t="s">
        <v>490</v>
      </c>
      <c r="L7926">
        <v>8000989416</v>
      </c>
      <c r="N7926" t="s">
        <v>1031</v>
      </c>
    </row>
    <row r="7927" spans="3:14">
      <c r="C7927">
        <v>2100300025</v>
      </c>
      <c r="D7927">
        <v>6426000</v>
      </c>
      <c r="E7927" t="s">
        <v>188</v>
      </c>
      <c r="F7927">
        <v>5104010112</v>
      </c>
      <c r="G7927" s="13">
        <v>-47480</v>
      </c>
      <c r="I7927" t="s">
        <v>150</v>
      </c>
      <c r="J7927" t="s">
        <v>969</v>
      </c>
      <c r="K7927" t="s">
        <v>490</v>
      </c>
      <c r="L7927">
        <v>8001188497</v>
      </c>
      <c r="N7927" t="s">
        <v>1031</v>
      </c>
    </row>
    <row r="7928" spans="3:14">
      <c r="C7928">
        <v>2100300025</v>
      </c>
      <c r="D7928">
        <v>6426000</v>
      </c>
      <c r="E7928" t="s">
        <v>188</v>
      </c>
      <c r="F7928">
        <v>5104010112</v>
      </c>
      <c r="G7928" s="13">
        <v>-13300</v>
      </c>
      <c r="I7928" t="s">
        <v>150</v>
      </c>
      <c r="J7928" t="s">
        <v>1353</v>
      </c>
      <c r="K7928" t="s">
        <v>490</v>
      </c>
      <c r="L7928">
        <v>8001126346</v>
      </c>
      <c r="N7928" t="s">
        <v>1031</v>
      </c>
    </row>
    <row r="7929" spans="3:14">
      <c r="C7929">
        <v>2100300025</v>
      </c>
      <c r="D7929">
        <v>6426000</v>
      </c>
      <c r="E7929" t="s">
        <v>188</v>
      </c>
      <c r="F7929">
        <v>5104010112</v>
      </c>
      <c r="G7929" s="13">
        <v>-15000</v>
      </c>
      <c r="I7929" t="s">
        <v>150</v>
      </c>
      <c r="J7929" t="s">
        <v>1353</v>
      </c>
      <c r="K7929" t="s">
        <v>490</v>
      </c>
      <c r="L7929">
        <v>8001115410</v>
      </c>
      <c r="N7929" t="s">
        <v>1031</v>
      </c>
    </row>
    <row r="7930" spans="3:14">
      <c r="C7930">
        <v>2100300025</v>
      </c>
      <c r="D7930">
        <v>6426000</v>
      </c>
      <c r="E7930" t="s">
        <v>188</v>
      </c>
      <c r="F7930">
        <v>5104010112</v>
      </c>
      <c r="G7930" s="13">
        <v>47480</v>
      </c>
      <c r="I7930" t="s">
        <v>150</v>
      </c>
      <c r="J7930" t="s">
        <v>969</v>
      </c>
      <c r="K7930" t="s">
        <v>490</v>
      </c>
      <c r="L7930">
        <v>8001188268</v>
      </c>
      <c r="N7930" t="s">
        <v>1031</v>
      </c>
    </row>
    <row r="7931" spans="3:14">
      <c r="C7931">
        <v>2100300025</v>
      </c>
      <c r="D7931">
        <v>6426000</v>
      </c>
      <c r="E7931" t="s">
        <v>188</v>
      </c>
      <c r="F7931">
        <v>5104010112</v>
      </c>
      <c r="G7931" s="13">
        <v>47480</v>
      </c>
      <c r="I7931" t="s">
        <v>150</v>
      </c>
      <c r="J7931" t="s">
        <v>969</v>
      </c>
      <c r="K7931" t="s">
        <v>490</v>
      </c>
      <c r="L7931">
        <v>8001178490</v>
      </c>
      <c r="N7931" t="s">
        <v>1031</v>
      </c>
    </row>
    <row r="7932" spans="3:14">
      <c r="C7932">
        <v>2100300025</v>
      </c>
      <c r="D7932">
        <v>6426000</v>
      </c>
      <c r="E7932" t="s">
        <v>188</v>
      </c>
      <c r="F7932">
        <v>5104010112</v>
      </c>
      <c r="G7932" s="13">
        <v>10200</v>
      </c>
      <c r="I7932" t="s">
        <v>150</v>
      </c>
      <c r="J7932" t="s">
        <v>1353</v>
      </c>
      <c r="K7932" t="s">
        <v>490</v>
      </c>
      <c r="L7932">
        <v>8001101856</v>
      </c>
      <c r="N7932" t="s">
        <v>1031</v>
      </c>
    </row>
    <row r="7933" spans="3:14">
      <c r="C7933">
        <v>2100300025</v>
      </c>
      <c r="D7933">
        <v>6426000</v>
      </c>
      <c r="E7933" t="s">
        <v>188</v>
      </c>
      <c r="F7933">
        <v>5104010112</v>
      </c>
      <c r="G7933" s="13">
        <v>26451.599999999999</v>
      </c>
      <c r="I7933" t="s">
        <v>150</v>
      </c>
      <c r="J7933" t="s">
        <v>860</v>
      </c>
      <c r="K7933" t="s">
        <v>490</v>
      </c>
      <c r="L7933">
        <v>8001095053</v>
      </c>
      <c r="N7933" t="s">
        <v>1031</v>
      </c>
    </row>
    <row r="7934" spans="3:14">
      <c r="C7934">
        <v>2100300025</v>
      </c>
      <c r="D7934">
        <v>6426000</v>
      </c>
      <c r="E7934" t="s">
        <v>188</v>
      </c>
      <c r="F7934">
        <v>5104010112</v>
      </c>
      <c r="G7934" s="13">
        <v>15000</v>
      </c>
      <c r="I7934" t="s">
        <v>150</v>
      </c>
      <c r="J7934" t="s">
        <v>1353</v>
      </c>
      <c r="K7934" t="s">
        <v>490</v>
      </c>
      <c r="L7934">
        <v>8001095069</v>
      </c>
      <c r="N7934" t="s">
        <v>1031</v>
      </c>
    </row>
    <row r="7935" spans="3:14">
      <c r="C7935">
        <v>2100300025</v>
      </c>
      <c r="D7935">
        <v>6426000</v>
      </c>
      <c r="E7935" t="s">
        <v>188</v>
      </c>
      <c r="F7935">
        <v>5104010112</v>
      </c>
      <c r="G7935" s="13">
        <v>36000</v>
      </c>
      <c r="I7935" t="s">
        <v>150</v>
      </c>
      <c r="J7935" t="s">
        <v>861</v>
      </c>
      <c r="K7935" t="s">
        <v>490</v>
      </c>
      <c r="L7935">
        <v>8001140870</v>
      </c>
      <c r="N7935" t="s">
        <v>1031</v>
      </c>
    </row>
    <row r="7936" spans="3:14">
      <c r="C7936">
        <v>2100300025</v>
      </c>
      <c r="D7936">
        <v>6426000</v>
      </c>
      <c r="E7936" t="s">
        <v>188</v>
      </c>
      <c r="F7936">
        <v>5104010112</v>
      </c>
      <c r="G7936" s="13">
        <v>13219.65</v>
      </c>
      <c r="I7936" t="s">
        <v>150</v>
      </c>
      <c r="J7936" t="s">
        <v>976</v>
      </c>
      <c r="K7936" t="s">
        <v>490</v>
      </c>
      <c r="L7936">
        <v>8001123990</v>
      </c>
      <c r="N7936" t="s">
        <v>1039</v>
      </c>
    </row>
    <row r="7937" spans="3:14">
      <c r="C7937">
        <v>2100300025</v>
      </c>
      <c r="D7937">
        <v>6426000</v>
      </c>
      <c r="E7937" t="s">
        <v>188</v>
      </c>
      <c r="F7937">
        <v>5104010112</v>
      </c>
      <c r="G7937" s="13">
        <v>15000</v>
      </c>
      <c r="I7937" t="s">
        <v>150</v>
      </c>
      <c r="J7937" t="s">
        <v>1353</v>
      </c>
      <c r="K7937" t="s">
        <v>490</v>
      </c>
      <c r="L7937">
        <v>8001114242</v>
      </c>
      <c r="N7937" t="s">
        <v>1031</v>
      </c>
    </row>
    <row r="7938" spans="3:14">
      <c r="C7938">
        <v>2100300025</v>
      </c>
      <c r="D7938">
        <v>6426000</v>
      </c>
      <c r="E7938" t="s">
        <v>188</v>
      </c>
      <c r="F7938">
        <v>5104010112</v>
      </c>
      <c r="G7938" s="13">
        <v>9000</v>
      </c>
      <c r="I7938" t="s">
        <v>150</v>
      </c>
      <c r="J7938" t="s">
        <v>1355</v>
      </c>
      <c r="K7938" t="s">
        <v>490</v>
      </c>
      <c r="L7938">
        <v>8001265614</v>
      </c>
      <c r="N7938" t="s">
        <v>1031</v>
      </c>
    </row>
    <row r="7939" spans="3:14">
      <c r="C7939">
        <v>2100300025</v>
      </c>
      <c r="D7939">
        <v>6426000</v>
      </c>
      <c r="E7939" t="s">
        <v>188</v>
      </c>
      <c r="F7939">
        <v>5104010112</v>
      </c>
      <c r="G7939" s="13">
        <v>45000</v>
      </c>
      <c r="I7939" t="s">
        <v>150</v>
      </c>
      <c r="J7939" t="s">
        <v>1355</v>
      </c>
      <c r="K7939" t="s">
        <v>490</v>
      </c>
      <c r="L7939">
        <v>8001265617</v>
      </c>
      <c r="N7939" t="s">
        <v>1031</v>
      </c>
    </row>
    <row r="7940" spans="3:14">
      <c r="C7940">
        <v>2100300025</v>
      </c>
      <c r="D7940">
        <v>6426000</v>
      </c>
      <c r="E7940" t="s">
        <v>188</v>
      </c>
      <c r="F7940">
        <v>5104010112</v>
      </c>
      <c r="G7940" s="13">
        <v>24800</v>
      </c>
      <c r="I7940" t="s">
        <v>150</v>
      </c>
      <c r="J7940" t="s">
        <v>1355</v>
      </c>
      <c r="K7940" t="s">
        <v>490</v>
      </c>
      <c r="L7940">
        <v>8001265620</v>
      </c>
      <c r="N7940" t="s">
        <v>1031</v>
      </c>
    </row>
    <row r="7941" spans="3:14">
      <c r="C7941">
        <v>2100300025</v>
      </c>
      <c r="D7941">
        <v>6426000</v>
      </c>
      <c r="E7941" t="s">
        <v>188</v>
      </c>
      <c r="F7941">
        <v>5104010112</v>
      </c>
      <c r="G7941" s="13">
        <v>380000</v>
      </c>
      <c r="I7941" t="s">
        <v>150</v>
      </c>
      <c r="J7941" t="s">
        <v>865</v>
      </c>
      <c r="K7941" t="s">
        <v>490</v>
      </c>
      <c r="L7941">
        <v>8001459300</v>
      </c>
      <c r="N7941" t="s">
        <v>1031</v>
      </c>
    </row>
    <row r="7942" spans="3:14">
      <c r="C7942">
        <v>2100300025</v>
      </c>
      <c r="D7942">
        <v>6426000</v>
      </c>
      <c r="E7942" t="s">
        <v>188</v>
      </c>
      <c r="F7942">
        <v>5104010112</v>
      </c>
      <c r="G7942" s="13">
        <v>493999</v>
      </c>
      <c r="I7942" t="s">
        <v>150</v>
      </c>
      <c r="J7942" t="s">
        <v>978</v>
      </c>
      <c r="K7942" t="s">
        <v>490</v>
      </c>
      <c r="L7942">
        <v>8001544891</v>
      </c>
      <c r="N7942" t="s">
        <v>1031</v>
      </c>
    </row>
    <row r="7943" spans="3:14">
      <c r="C7943">
        <v>2100300025</v>
      </c>
      <c r="D7943">
        <v>6426000</v>
      </c>
      <c r="E7943" t="s">
        <v>188</v>
      </c>
      <c r="F7943">
        <v>5104010112</v>
      </c>
      <c r="G7943" s="13">
        <v>19600</v>
      </c>
      <c r="I7943" t="s">
        <v>150</v>
      </c>
      <c r="J7943" t="s">
        <v>862</v>
      </c>
      <c r="K7943" t="s">
        <v>490</v>
      </c>
      <c r="L7943">
        <v>8001314271</v>
      </c>
      <c r="N7943" t="s">
        <v>1031</v>
      </c>
    </row>
    <row r="7944" spans="3:14">
      <c r="C7944">
        <v>2100300025</v>
      </c>
      <c r="D7944">
        <v>6426000</v>
      </c>
      <c r="E7944" t="s">
        <v>188</v>
      </c>
      <c r="F7944">
        <v>5104010112</v>
      </c>
      <c r="G7944" s="13">
        <v>15000</v>
      </c>
      <c r="I7944" t="s">
        <v>150</v>
      </c>
      <c r="J7944" t="s">
        <v>864</v>
      </c>
      <c r="K7944" t="s">
        <v>490</v>
      </c>
      <c r="L7944">
        <v>8001365143</v>
      </c>
      <c r="N7944" t="s">
        <v>1031</v>
      </c>
    </row>
    <row r="7945" spans="3:14">
      <c r="C7945">
        <v>2100300025</v>
      </c>
      <c r="D7945">
        <v>6426000</v>
      </c>
      <c r="E7945" t="s">
        <v>188</v>
      </c>
      <c r="F7945">
        <v>5104010112</v>
      </c>
      <c r="G7945" s="13">
        <v>7500</v>
      </c>
      <c r="I7945" t="s">
        <v>150</v>
      </c>
      <c r="J7945" t="s">
        <v>868</v>
      </c>
      <c r="K7945" t="s">
        <v>490</v>
      </c>
      <c r="L7945">
        <v>8001365151</v>
      </c>
      <c r="N7945" t="s">
        <v>1031</v>
      </c>
    </row>
    <row r="7946" spans="3:14">
      <c r="C7946">
        <v>2100300025</v>
      </c>
      <c r="D7946">
        <v>6426000</v>
      </c>
      <c r="E7946" t="s">
        <v>188</v>
      </c>
      <c r="F7946">
        <v>5104010112</v>
      </c>
      <c r="G7946" s="13">
        <v>133250</v>
      </c>
      <c r="I7946" t="s">
        <v>150</v>
      </c>
      <c r="J7946" t="s">
        <v>864</v>
      </c>
      <c r="K7946" t="s">
        <v>490</v>
      </c>
      <c r="L7946">
        <v>8001365132</v>
      </c>
      <c r="N7946" t="s">
        <v>1031</v>
      </c>
    </row>
    <row r="7947" spans="3:14">
      <c r="C7947">
        <v>2100300025</v>
      </c>
      <c r="D7947">
        <v>6426000</v>
      </c>
      <c r="E7947" t="s">
        <v>188</v>
      </c>
      <c r="F7947">
        <v>5104010112</v>
      </c>
      <c r="G7947" s="13">
        <v>41000</v>
      </c>
      <c r="I7947" t="s">
        <v>150</v>
      </c>
      <c r="J7947" t="s">
        <v>864</v>
      </c>
      <c r="K7947" t="s">
        <v>490</v>
      </c>
      <c r="L7947">
        <v>8001365134</v>
      </c>
      <c r="N7947" t="s">
        <v>1031</v>
      </c>
    </row>
    <row r="7948" spans="3:14">
      <c r="C7948">
        <v>2100300025</v>
      </c>
      <c r="D7948">
        <v>6426000</v>
      </c>
      <c r="E7948" t="s">
        <v>188</v>
      </c>
      <c r="F7948">
        <v>5104010112</v>
      </c>
      <c r="G7948" s="13">
        <v>8750</v>
      </c>
      <c r="I7948" t="s">
        <v>150</v>
      </c>
      <c r="J7948" t="s">
        <v>983</v>
      </c>
      <c r="K7948" t="s">
        <v>490</v>
      </c>
      <c r="L7948">
        <v>8001423849</v>
      </c>
      <c r="N7948" t="s">
        <v>1031</v>
      </c>
    </row>
    <row r="7949" spans="3:14">
      <c r="C7949">
        <v>2100300025</v>
      </c>
      <c r="D7949">
        <v>6426000</v>
      </c>
      <c r="E7949" t="s">
        <v>188</v>
      </c>
      <c r="F7949">
        <v>5104010112</v>
      </c>
      <c r="G7949" s="13">
        <v>5000</v>
      </c>
      <c r="I7949" t="s">
        <v>150</v>
      </c>
      <c r="J7949" t="s">
        <v>868</v>
      </c>
      <c r="K7949" t="s">
        <v>490</v>
      </c>
      <c r="L7949">
        <v>8001330840</v>
      </c>
      <c r="N7949" t="s">
        <v>1031</v>
      </c>
    </row>
    <row r="7950" spans="3:14">
      <c r="C7950">
        <v>2100300025</v>
      </c>
      <c r="D7950">
        <v>6426000</v>
      </c>
      <c r="E7950" t="s">
        <v>188</v>
      </c>
      <c r="F7950">
        <v>5104010112</v>
      </c>
      <c r="G7950" s="13">
        <v>402160</v>
      </c>
      <c r="I7950" t="s">
        <v>150</v>
      </c>
      <c r="J7950" t="s">
        <v>973</v>
      </c>
      <c r="K7950" t="s">
        <v>490</v>
      </c>
      <c r="L7950">
        <v>8001234902</v>
      </c>
      <c r="N7950" t="s">
        <v>1031</v>
      </c>
    </row>
    <row r="7951" spans="3:14">
      <c r="C7951">
        <v>2100300025</v>
      </c>
      <c r="D7951">
        <v>6426000</v>
      </c>
      <c r="E7951" t="s">
        <v>188</v>
      </c>
      <c r="F7951">
        <v>5104010112</v>
      </c>
      <c r="G7951" s="13">
        <v>43335</v>
      </c>
      <c r="I7951" t="s">
        <v>150</v>
      </c>
      <c r="J7951" t="s">
        <v>973</v>
      </c>
      <c r="K7951" t="s">
        <v>490</v>
      </c>
      <c r="L7951">
        <v>8001190952</v>
      </c>
      <c r="N7951" t="s">
        <v>1031</v>
      </c>
    </row>
    <row r="7952" spans="3:14">
      <c r="C7952">
        <v>2100300025</v>
      </c>
      <c r="D7952">
        <v>6426000</v>
      </c>
      <c r="E7952" t="s">
        <v>188</v>
      </c>
      <c r="F7952">
        <v>5104010112</v>
      </c>
      <c r="G7952" s="13">
        <v>99000</v>
      </c>
      <c r="I7952" t="s">
        <v>150</v>
      </c>
      <c r="J7952" t="s">
        <v>973</v>
      </c>
      <c r="K7952" t="s">
        <v>490</v>
      </c>
      <c r="L7952">
        <v>8001235090</v>
      </c>
      <c r="N7952" t="s">
        <v>1031</v>
      </c>
    </row>
    <row r="7953" spans="3:14">
      <c r="C7953">
        <v>2100300025</v>
      </c>
      <c r="D7953">
        <v>6426000</v>
      </c>
      <c r="E7953" t="s">
        <v>188</v>
      </c>
      <c r="F7953">
        <v>5104010112</v>
      </c>
      <c r="G7953" s="13">
        <v>6000</v>
      </c>
      <c r="I7953" t="s">
        <v>150</v>
      </c>
      <c r="J7953" t="s">
        <v>969</v>
      </c>
      <c r="K7953" t="s">
        <v>490</v>
      </c>
      <c r="L7953">
        <v>8001227682</v>
      </c>
      <c r="N7953" t="s">
        <v>1031</v>
      </c>
    </row>
    <row r="7954" spans="3:14">
      <c r="C7954">
        <v>2100300025</v>
      </c>
      <c r="D7954">
        <v>6426000</v>
      </c>
      <c r="E7954" t="s">
        <v>188</v>
      </c>
      <c r="F7954">
        <v>5104010112</v>
      </c>
      <c r="G7954" s="13">
        <v>6300</v>
      </c>
      <c r="I7954" t="s">
        <v>150</v>
      </c>
      <c r="J7954" t="s">
        <v>974</v>
      </c>
      <c r="K7954" t="s">
        <v>490</v>
      </c>
      <c r="L7954">
        <v>8001228231</v>
      </c>
      <c r="N7954" t="s">
        <v>1031</v>
      </c>
    </row>
    <row r="7955" spans="3:14">
      <c r="C7955">
        <v>2100300025</v>
      </c>
      <c r="D7955">
        <v>6426000</v>
      </c>
      <c r="E7955" t="s">
        <v>188</v>
      </c>
      <c r="F7955">
        <v>5104010112</v>
      </c>
      <c r="G7955" s="13">
        <v>23500</v>
      </c>
      <c r="I7955" t="s">
        <v>150</v>
      </c>
      <c r="J7955" t="s">
        <v>974</v>
      </c>
      <c r="K7955" t="s">
        <v>490</v>
      </c>
      <c r="L7955">
        <v>8001114459</v>
      </c>
      <c r="N7955" t="s">
        <v>1031</v>
      </c>
    </row>
    <row r="7956" spans="3:14">
      <c r="C7956">
        <v>2100300025</v>
      </c>
      <c r="D7956">
        <v>6426000</v>
      </c>
      <c r="E7956" t="s">
        <v>188</v>
      </c>
      <c r="F7956">
        <v>5104010112</v>
      </c>
      <c r="G7956" s="13">
        <v>101400</v>
      </c>
      <c r="I7956" t="s">
        <v>150</v>
      </c>
      <c r="J7956" t="s">
        <v>1353</v>
      </c>
      <c r="K7956" t="s">
        <v>490</v>
      </c>
      <c r="L7956">
        <v>8001131095</v>
      </c>
      <c r="N7956" t="s">
        <v>1031</v>
      </c>
    </row>
    <row r="7957" spans="3:14">
      <c r="C7957">
        <v>2100300025</v>
      </c>
      <c r="D7957">
        <v>6426000</v>
      </c>
      <c r="E7957" t="s">
        <v>188</v>
      </c>
      <c r="F7957">
        <v>5104010112</v>
      </c>
      <c r="G7957" s="13">
        <v>13300</v>
      </c>
      <c r="I7957" t="s">
        <v>150</v>
      </c>
      <c r="J7957" t="s">
        <v>860</v>
      </c>
      <c r="K7957" t="s">
        <v>490</v>
      </c>
      <c r="L7957">
        <v>8001125027</v>
      </c>
      <c r="N7957" t="s">
        <v>1031</v>
      </c>
    </row>
    <row r="7958" spans="3:14">
      <c r="C7958">
        <v>2100300025</v>
      </c>
      <c r="D7958">
        <v>6426000</v>
      </c>
      <c r="E7958" t="s">
        <v>188</v>
      </c>
      <c r="F7958">
        <v>5104010112</v>
      </c>
      <c r="G7958" s="13">
        <v>26451.61</v>
      </c>
      <c r="I7958" t="s">
        <v>150</v>
      </c>
      <c r="J7958" t="s">
        <v>967</v>
      </c>
      <c r="K7958" t="s">
        <v>490</v>
      </c>
      <c r="L7958">
        <v>8001122480</v>
      </c>
      <c r="N7958" t="s">
        <v>1031</v>
      </c>
    </row>
    <row r="7959" spans="3:14">
      <c r="C7959">
        <v>2100300025</v>
      </c>
      <c r="D7959">
        <v>6426000</v>
      </c>
      <c r="E7959" t="s">
        <v>188</v>
      </c>
      <c r="F7959">
        <v>5104010112</v>
      </c>
      <c r="G7959" s="13">
        <v>22000</v>
      </c>
      <c r="I7959" t="s">
        <v>150</v>
      </c>
      <c r="J7959" t="s">
        <v>976</v>
      </c>
      <c r="K7959" t="s">
        <v>490</v>
      </c>
      <c r="L7959">
        <v>8001125198</v>
      </c>
      <c r="N7959" t="s">
        <v>1039</v>
      </c>
    </row>
    <row r="7960" spans="3:14">
      <c r="C7960">
        <v>2100300025</v>
      </c>
      <c r="D7960">
        <v>6426000</v>
      </c>
      <c r="E7960" t="s">
        <v>188</v>
      </c>
      <c r="F7960">
        <v>5104010112</v>
      </c>
      <c r="G7960" s="13">
        <v>238180</v>
      </c>
      <c r="I7960" t="s">
        <v>150</v>
      </c>
      <c r="J7960" t="s">
        <v>1353</v>
      </c>
      <c r="K7960" t="s">
        <v>490</v>
      </c>
      <c r="L7960">
        <v>8001120409</v>
      </c>
      <c r="N7960" t="s">
        <v>1031</v>
      </c>
    </row>
    <row r="7961" spans="3:14">
      <c r="C7961">
        <v>2100300025</v>
      </c>
      <c r="D7961">
        <v>6426000</v>
      </c>
      <c r="E7961" t="s">
        <v>188</v>
      </c>
      <c r="F7961">
        <v>5104010112</v>
      </c>
      <c r="G7961" s="13">
        <v>10200</v>
      </c>
      <c r="I7961" t="s">
        <v>150</v>
      </c>
      <c r="J7961" t="s">
        <v>1353</v>
      </c>
      <c r="K7961" t="s">
        <v>490</v>
      </c>
      <c r="L7961">
        <v>8001103268</v>
      </c>
      <c r="N7961" t="s">
        <v>1031</v>
      </c>
    </row>
    <row r="7962" spans="3:14">
      <c r="C7962">
        <v>2100300025</v>
      </c>
      <c r="D7962">
        <v>6426000</v>
      </c>
      <c r="E7962" t="s">
        <v>188</v>
      </c>
      <c r="F7962">
        <v>5104010112</v>
      </c>
      <c r="G7962" s="13">
        <v>13300</v>
      </c>
      <c r="I7962" t="s">
        <v>150</v>
      </c>
      <c r="J7962" t="s">
        <v>1353</v>
      </c>
      <c r="K7962" t="s">
        <v>490</v>
      </c>
      <c r="L7962">
        <v>8001119171</v>
      </c>
      <c r="N7962" t="s">
        <v>1031</v>
      </c>
    </row>
    <row r="7963" spans="3:14">
      <c r="C7963">
        <v>2100300025</v>
      </c>
      <c r="D7963">
        <v>6426000</v>
      </c>
      <c r="E7963" t="s">
        <v>188</v>
      </c>
      <c r="F7963">
        <v>5104010112</v>
      </c>
      <c r="G7963" s="13">
        <v>10200</v>
      </c>
      <c r="I7963" t="s">
        <v>150</v>
      </c>
      <c r="J7963" t="s">
        <v>981</v>
      </c>
      <c r="K7963" t="s">
        <v>490</v>
      </c>
      <c r="L7963">
        <v>8001381217</v>
      </c>
      <c r="N7963" t="s">
        <v>1031</v>
      </c>
    </row>
    <row r="7964" spans="3:14">
      <c r="C7964">
        <v>2100300025</v>
      </c>
      <c r="D7964">
        <v>6426000</v>
      </c>
      <c r="E7964" t="s">
        <v>188</v>
      </c>
      <c r="F7964">
        <v>5104010112</v>
      </c>
      <c r="G7964" s="13">
        <v>238180</v>
      </c>
      <c r="I7964" t="s">
        <v>150</v>
      </c>
      <c r="J7964" t="s">
        <v>868</v>
      </c>
      <c r="K7964" t="s">
        <v>490</v>
      </c>
      <c r="L7964">
        <v>8001381654</v>
      </c>
      <c r="N7964" t="s">
        <v>1031</v>
      </c>
    </row>
    <row r="7965" spans="3:14">
      <c r="C7965">
        <v>2100300025</v>
      </c>
      <c r="D7965">
        <v>6426000</v>
      </c>
      <c r="E7965" t="s">
        <v>188</v>
      </c>
      <c r="F7965">
        <v>5104010112</v>
      </c>
      <c r="G7965" s="13">
        <v>209000</v>
      </c>
      <c r="I7965" t="s">
        <v>150</v>
      </c>
      <c r="J7965" t="s">
        <v>980</v>
      </c>
      <c r="K7965" t="s">
        <v>490</v>
      </c>
      <c r="L7965">
        <v>8001537342</v>
      </c>
      <c r="N7965" t="s">
        <v>1031</v>
      </c>
    </row>
    <row r="7966" spans="3:14">
      <c r="C7966">
        <v>2100300025</v>
      </c>
      <c r="D7966">
        <v>6426000</v>
      </c>
      <c r="E7966" t="s">
        <v>188</v>
      </c>
      <c r="F7966">
        <v>5104010112</v>
      </c>
      <c r="G7966" s="13">
        <v>23930</v>
      </c>
      <c r="I7966" t="s">
        <v>150</v>
      </c>
      <c r="J7966" t="s">
        <v>557</v>
      </c>
      <c r="K7966" t="s">
        <v>490</v>
      </c>
      <c r="L7966">
        <v>8001376202</v>
      </c>
      <c r="N7966" t="s">
        <v>1031</v>
      </c>
    </row>
    <row r="7967" spans="3:14">
      <c r="C7967">
        <v>2100300025</v>
      </c>
      <c r="D7967">
        <v>6426000</v>
      </c>
      <c r="E7967" t="s">
        <v>188</v>
      </c>
      <c r="F7967">
        <v>5104010112</v>
      </c>
      <c r="G7967" s="13">
        <v>19050</v>
      </c>
      <c r="I7967" t="s">
        <v>150</v>
      </c>
      <c r="J7967" t="s">
        <v>982</v>
      </c>
      <c r="K7967" t="s">
        <v>490</v>
      </c>
      <c r="L7967">
        <v>8001439062</v>
      </c>
      <c r="N7967" t="s">
        <v>1039</v>
      </c>
    </row>
    <row r="7968" spans="3:14">
      <c r="C7968">
        <v>2100300025</v>
      </c>
      <c r="D7968">
        <v>6426000</v>
      </c>
      <c r="E7968" t="s">
        <v>188</v>
      </c>
      <c r="F7968">
        <v>5104010112</v>
      </c>
      <c r="G7968" s="13">
        <v>101400</v>
      </c>
      <c r="I7968" t="s">
        <v>150</v>
      </c>
      <c r="J7968" t="s">
        <v>864</v>
      </c>
      <c r="K7968" t="s">
        <v>490</v>
      </c>
      <c r="L7968">
        <v>8001403045</v>
      </c>
      <c r="N7968" t="s">
        <v>1031</v>
      </c>
    </row>
    <row r="7969" spans="3:14">
      <c r="C7969">
        <v>2100300025</v>
      </c>
      <c r="D7969">
        <v>6426000</v>
      </c>
      <c r="E7969" t="s">
        <v>188</v>
      </c>
      <c r="F7969">
        <v>5104010112</v>
      </c>
      <c r="G7969" s="13">
        <v>21400</v>
      </c>
      <c r="I7969" t="s">
        <v>150</v>
      </c>
      <c r="J7969" t="s">
        <v>981</v>
      </c>
      <c r="K7969" t="s">
        <v>490</v>
      </c>
      <c r="L7969">
        <v>8001403057</v>
      </c>
      <c r="N7969" t="s">
        <v>1031</v>
      </c>
    </row>
    <row r="7970" spans="3:14">
      <c r="C7970">
        <v>2100300025</v>
      </c>
      <c r="D7970">
        <v>6426000</v>
      </c>
      <c r="E7970" t="s">
        <v>188</v>
      </c>
      <c r="F7970">
        <v>5104010112</v>
      </c>
      <c r="G7970" s="13">
        <v>13300</v>
      </c>
      <c r="I7970" t="s">
        <v>150</v>
      </c>
      <c r="J7970" t="s">
        <v>862</v>
      </c>
      <c r="K7970" t="s">
        <v>490</v>
      </c>
      <c r="L7970">
        <v>8001393977</v>
      </c>
      <c r="N7970" t="s">
        <v>1031</v>
      </c>
    </row>
    <row r="7971" spans="3:14">
      <c r="C7971">
        <v>2100300025</v>
      </c>
      <c r="D7971">
        <v>6426000</v>
      </c>
      <c r="E7971" t="s">
        <v>188</v>
      </c>
      <c r="F7971">
        <v>5104010112</v>
      </c>
      <c r="G7971" s="13">
        <v>300000</v>
      </c>
      <c r="I7971" t="s">
        <v>150</v>
      </c>
      <c r="J7971" t="s">
        <v>868</v>
      </c>
      <c r="K7971" t="s">
        <v>490</v>
      </c>
      <c r="L7971">
        <v>8001330866</v>
      </c>
      <c r="N7971" t="s">
        <v>1031</v>
      </c>
    </row>
    <row r="7972" spans="3:14">
      <c r="C7972">
        <v>2100300025</v>
      </c>
      <c r="D7972">
        <v>6426000</v>
      </c>
      <c r="E7972" t="s">
        <v>188</v>
      </c>
      <c r="F7972">
        <v>5104030206</v>
      </c>
      <c r="G7972" s="13">
        <v>11500</v>
      </c>
      <c r="I7972" t="s">
        <v>150</v>
      </c>
      <c r="J7972" t="s">
        <v>848</v>
      </c>
      <c r="K7972" t="s">
        <v>522</v>
      </c>
      <c r="L7972">
        <v>8000871548</v>
      </c>
      <c r="N7972" t="s">
        <v>1446</v>
      </c>
    </row>
    <row r="7973" spans="3:14">
      <c r="C7973">
        <v>2100300025</v>
      </c>
      <c r="D7973">
        <v>6426000</v>
      </c>
      <c r="E7973" t="s">
        <v>188</v>
      </c>
      <c r="F7973">
        <v>5104030206</v>
      </c>
      <c r="G7973" s="13">
        <v>161300</v>
      </c>
      <c r="I7973" t="s">
        <v>150</v>
      </c>
      <c r="J7973" t="s">
        <v>831</v>
      </c>
      <c r="K7973" t="s">
        <v>522</v>
      </c>
      <c r="L7973">
        <v>8000452485</v>
      </c>
      <c r="N7973" t="s">
        <v>1447</v>
      </c>
    </row>
    <row r="7974" spans="3:14">
      <c r="C7974">
        <v>2100300025</v>
      </c>
      <c r="D7974">
        <v>6426000</v>
      </c>
      <c r="E7974" t="s">
        <v>188</v>
      </c>
      <c r="F7974">
        <v>5104030206</v>
      </c>
      <c r="G7974" s="13">
        <v>5750</v>
      </c>
      <c r="I7974" t="s">
        <v>150</v>
      </c>
      <c r="J7974" t="s">
        <v>923</v>
      </c>
      <c r="K7974" t="s">
        <v>522</v>
      </c>
      <c r="L7974">
        <v>8000385251</v>
      </c>
      <c r="N7974" t="s">
        <v>1448</v>
      </c>
    </row>
    <row r="7975" spans="3:14">
      <c r="C7975">
        <v>2100300025</v>
      </c>
      <c r="D7975">
        <v>6426000</v>
      </c>
      <c r="E7975" t="s">
        <v>188</v>
      </c>
      <c r="F7975">
        <v>5104030206</v>
      </c>
      <c r="G7975" s="13">
        <v>-4470</v>
      </c>
      <c r="I7975" t="s">
        <v>150</v>
      </c>
      <c r="J7975" t="s">
        <v>936</v>
      </c>
      <c r="K7975" t="s">
        <v>522</v>
      </c>
      <c r="L7975">
        <v>8000593027</v>
      </c>
      <c r="N7975" t="s">
        <v>1449</v>
      </c>
    </row>
    <row r="7976" spans="3:14">
      <c r="C7976">
        <v>2100300025</v>
      </c>
      <c r="D7976">
        <v>6426000</v>
      </c>
      <c r="E7976" t="s">
        <v>188</v>
      </c>
      <c r="F7976">
        <v>5104030206</v>
      </c>
      <c r="G7976" s="13">
        <v>31000</v>
      </c>
      <c r="I7976" t="s">
        <v>150</v>
      </c>
      <c r="J7976" t="s">
        <v>935</v>
      </c>
      <c r="K7976" t="s">
        <v>522</v>
      </c>
      <c r="L7976">
        <v>8000545107</v>
      </c>
      <c r="N7976" t="s">
        <v>1450</v>
      </c>
    </row>
    <row r="7977" spans="3:14">
      <c r="C7977">
        <v>2100300025</v>
      </c>
      <c r="D7977">
        <v>6426000</v>
      </c>
      <c r="E7977" t="s">
        <v>188</v>
      </c>
      <c r="F7977">
        <v>5104030206</v>
      </c>
      <c r="G7977" s="13">
        <v>10500</v>
      </c>
      <c r="I7977" t="s">
        <v>150</v>
      </c>
      <c r="J7977" t="s">
        <v>935</v>
      </c>
      <c r="K7977" t="s">
        <v>522</v>
      </c>
      <c r="L7977">
        <v>8000545107</v>
      </c>
      <c r="N7977" t="s">
        <v>1450</v>
      </c>
    </row>
    <row r="7978" spans="3:14">
      <c r="C7978">
        <v>2100300025</v>
      </c>
      <c r="D7978">
        <v>6426000</v>
      </c>
      <c r="E7978" t="s">
        <v>188</v>
      </c>
      <c r="F7978">
        <v>5104030206</v>
      </c>
      <c r="G7978" s="13">
        <v>128000</v>
      </c>
      <c r="I7978" t="s">
        <v>150</v>
      </c>
      <c r="J7978" t="s">
        <v>935</v>
      </c>
      <c r="K7978" t="s">
        <v>522</v>
      </c>
      <c r="L7978">
        <v>8000545107</v>
      </c>
      <c r="N7978" t="s">
        <v>1450</v>
      </c>
    </row>
    <row r="7979" spans="3:14">
      <c r="C7979">
        <v>2100300025</v>
      </c>
      <c r="D7979">
        <v>6426000</v>
      </c>
      <c r="E7979" t="s">
        <v>188</v>
      </c>
      <c r="F7979">
        <v>5104030206</v>
      </c>
      <c r="G7979" s="13">
        <v>100000</v>
      </c>
      <c r="I7979" t="s">
        <v>150</v>
      </c>
      <c r="J7979" t="s">
        <v>935</v>
      </c>
      <c r="K7979" t="s">
        <v>522</v>
      </c>
      <c r="L7979">
        <v>8000545107</v>
      </c>
      <c r="N7979" t="s">
        <v>1450</v>
      </c>
    </row>
    <row r="7980" spans="3:14">
      <c r="C7980">
        <v>2100300025</v>
      </c>
      <c r="D7980">
        <v>6426000</v>
      </c>
      <c r="E7980" t="s">
        <v>188</v>
      </c>
      <c r="F7980">
        <v>5104030206</v>
      </c>
      <c r="G7980" s="13">
        <v>63250</v>
      </c>
      <c r="I7980" t="s">
        <v>150</v>
      </c>
      <c r="J7980" t="s">
        <v>935</v>
      </c>
      <c r="K7980" t="s">
        <v>522</v>
      </c>
      <c r="L7980">
        <v>8000545107</v>
      </c>
      <c r="N7980" t="s">
        <v>1450</v>
      </c>
    </row>
    <row r="7981" spans="3:14">
      <c r="C7981">
        <v>2100300025</v>
      </c>
      <c r="D7981">
        <v>6426000</v>
      </c>
      <c r="E7981" t="s">
        <v>188</v>
      </c>
      <c r="F7981">
        <v>5104030206</v>
      </c>
      <c r="G7981" s="13">
        <v>9500</v>
      </c>
      <c r="I7981" t="s">
        <v>150</v>
      </c>
      <c r="J7981" t="s">
        <v>581</v>
      </c>
      <c r="K7981" t="s">
        <v>522</v>
      </c>
      <c r="L7981">
        <v>8000603755</v>
      </c>
      <c r="N7981" t="s">
        <v>1451</v>
      </c>
    </row>
    <row r="7982" spans="3:14">
      <c r="C7982">
        <v>2100300025</v>
      </c>
      <c r="D7982">
        <v>6426000</v>
      </c>
      <c r="E7982" t="s">
        <v>188</v>
      </c>
      <c r="F7982">
        <v>5104030206</v>
      </c>
      <c r="G7982" s="13">
        <v>-8506.5</v>
      </c>
      <c r="I7982" t="s">
        <v>150</v>
      </c>
      <c r="J7982" t="s">
        <v>583</v>
      </c>
      <c r="K7982" t="s">
        <v>522</v>
      </c>
      <c r="L7982">
        <v>8000784204</v>
      </c>
      <c r="N7982" t="s">
        <v>1452</v>
      </c>
    </row>
    <row r="7983" spans="3:14">
      <c r="C7983">
        <v>2100300025</v>
      </c>
      <c r="D7983">
        <v>6426000</v>
      </c>
      <c r="E7983" t="s">
        <v>188</v>
      </c>
      <c r="F7983">
        <v>5104030206</v>
      </c>
      <c r="G7983" s="13">
        <v>31000</v>
      </c>
      <c r="I7983" t="s">
        <v>150</v>
      </c>
      <c r="J7983" t="s">
        <v>939</v>
      </c>
      <c r="K7983" t="s">
        <v>522</v>
      </c>
      <c r="L7983">
        <v>8000620831</v>
      </c>
      <c r="N7983" t="s">
        <v>1450</v>
      </c>
    </row>
    <row r="7984" spans="3:14">
      <c r="C7984">
        <v>2100300025</v>
      </c>
      <c r="D7984">
        <v>6426000</v>
      </c>
      <c r="E7984" t="s">
        <v>188</v>
      </c>
      <c r="F7984">
        <v>5104030206</v>
      </c>
      <c r="G7984" s="13">
        <v>92000</v>
      </c>
      <c r="I7984" t="s">
        <v>150</v>
      </c>
      <c r="J7984" t="s">
        <v>939</v>
      </c>
      <c r="K7984" t="s">
        <v>522</v>
      </c>
      <c r="L7984">
        <v>8000620831</v>
      </c>
      <c r="N7984" t="s">
        <v>1450</v>
      </c>
    </row>
    <row r="7985" spans="3:14">
      <c r="C7985">
        <v>2100300025</v>
      </c>
      <c r="D7985">
        <v>6426000</v>
      </c>
      <c r="E7985" t="s">
        <v>188</v>
      </c>
      <c r="F7985">
        <v>5104030206</v>
      </c>
      <c r="G7985" s="13">
        <v>10500</v>
      </c>
      <c r="I7985" t="s">
        <v>150</v>
      </c>
      <c r="J7985" t="s">
        <v>939</v>
      </c>
      <c r="K7985" t="s">
        <v>522</v>
      </c>
      <c r="L7985">
        <v>8000620831</v>
      </c>
      <c r="N7985" t="s">
        <v>1450</v>
      </c>
    </row>
    <row r="7986" spans="3:14">
      <c r="C7986">
        <v>2100300025</v>
      </c>
      <c r="D7986">
        <v>6426000</v>
      </c>
      <c r="E7986" t="s">
        <v>188</v>
      </c>
      <c r="F7986">
        <v>5104030206</v>
      </c>
      <c r="G7986" s="13">
        <v>128000</v>
      </c>
      <c r="I7986" t="s">
        <v>150</v>
      </c>
      <c r="J7986" t="s">
        <v>939</v>
      </c>
      <c r="K7986" t="s">
        <v>522</v>
      </c>
      <c r="L7986">
        <v>8000620831</v>
      </c>
      <c r="N7986" t="s">
        <v>1450</v>
      </c>
    </row>
    <row r="7987" spans="3:14">
      <c r="C7987">
        <v>2100300025</v>
      </c>
      <c r="D7987">
        <v>6426000</v>
      </c>
      <c r="E7987" t="s">
        <v>188</v>
      </c>
      <c r="F7987">
        <v>5104030206</v>
      </c>
      <c r="G7987" s="13">
        <v>424000</v>
      </c>
      <c r="I7987" t="s">
        <v>150</v>
      </c>
      <c r="J7987" t="s">
        <v>939</v>
      </c>
      <c r="K7987" t="s">
        <v>522</v>
      </c>
      <c r="L7987">
        <v>8000620831</v>
      </c>
      <c r="N7987" t="s">
        <v>1450</v>
      </c>
    </row>
    <row r="7988" spans="3:14">
      <c r="C7988">
        <v>2100300025</v>
      </c>
      <c r="D7988">
        <v>6426000</v>
      </c>
      <c r="E7988" t="s">
        <v>188</v>
      </c>
      <c r="F7988">
        <v>5104030206</v>
      </c>
      <c r="G7988" s="13">
        <v>100000</v>
      </c>
      <c r="I7988" t="s">
        <v>150</v>
      </c>
      <c r="J7988" t="s">
        <v>939</v>
      </c>
      <c r="K7988" t="s">
        <v>522</v>
      </c>
      <c r="L7988">
        <v>8000620831</v>
      </c>
      <c r="N7988" t="s">
        <v>1450</v>
      </c>
    </row>
    <row r="7989" spans="3:14">
      <c r="C7989">
        <v>2100300025</v>
      </c>
      <c r="D7989">
        <v>6426000</v>
      </c>
      <c r="E7989" t="s">
        <v>188</v>
      </c>
      <c r="F7989">
        <v>5104030206</v>
      </c>
      <c r="G7989" s="13">
        <v>63250</v>
      </c>
      <c r="I7989" t="s">
        <v>150</v>
      </c>
      <c r="J7989" t="s">
        <v>939</v>
      </c>
      <c r="K7989" t="s">
        <v>522</v>
      </c>
      <c r="L7989">
        <v>8000620831</v>
      </c>
      <c r="N7989" t="s">
        <v>1450</v>
      </c>
    </row>
    <row r="7990" spans="3:14">
      <c r="C7990">
        <v>2100300025</v>
      </c>
      <c r="D7990">
        <v>6426000</v>
      </c>
      <c r="E7990" t="s">
        <v>188</v>
      </c>
      <c r="F7990">
        <v>5104030206</v>
      </c>
      <c r="G7990" s="13">
        <v>8506.5</v>
      </c>
      <c r="I7990" t="s">
        <v>150</v>
      </c>
      <c r="J7990" t="s">
        <v>583</v>
      </c>
      <c r="K7990" t="s">
        <v>522</v>
      </c>
      <c r="L7990">
        <v>8000739382</v>
      </c>
      <c r="N7990" t="s">
        <v>1452</v>
      </c>
    </row>
    <row r="7991" spans="3:14">
      <c r="C7991">
        <v>2100300025</v>
      </c>
      <c r="D7991">
        <v>6426000</v>
      </c>
      <c r="E7991" t="s">
        <v>188</v>
      </c>
      <c r="F7991">
        <v>5104030206</v>
      </c>
      <c r="G7991" s="13">
        <v>-2100</v>
      </c>
      <c r="I7991" t="s">
        <v>150</v>
      </c>
      <c r="J7991" t="s">
        <v>849</v>
      </c>
      <c r="K7991" t="s">
        <v>522</v>
      </c>
      <c r="L7991">
        <v>8000783085</v>
      </c>
      <c r="N7991" t="s">
        <v>1031</v>
      </c>
    </row>
    <row r="7992" spans="3:14">
      <c r="C7992">
        <v>2100300025</v>
      </c>
      <c r="D7992">
        <v>6426000</v>
      </c>
      <c r="E7992" t="s">
        <v>188</v>
      </c>
      <c r="F7992">
        <v>5104030206</v>
      </c>
      <c r="G7992" s="13">
        <v>-31000</v>
      </c>
      <c r="I7992" t="s">
        <v>150</v>
      </c>
      <c r="J7992" t="s">
        <v>935</v>
      </c>
      <c r="K7992" t="s">
        <v>522</v>
      </c>
      <c r="L7992">
        <v>8000617502</v>
      </c>
      <c r="N7992" t="s">
        <v>1450</v>
      </c>
    </row>
    <row r="7993" spans="3:14">
      <c r="C7993">
        <v>2100300025</v>
      </c>
      <c r="D7993">
        <v>6426000</v>
      </c>
      <c r="E7993" t="s">
        <v>188</v>
      </c>
      <c r="F7993">
        <v>5104030206</v>
      </c>
      <c r="G7993" s="13">
        <v>-10500</v>
      </c>
      <c r="I7993" t="s">
        <v>150</v>
      </c>
      <c r="J7993" t="s">
        <v>935</v>
      </c>
      <c r="K7993" t="s">
        <v>522</v>
      </c>
      <c r="L7993">
        <v>8000617502</v>
      </c>
      <c r="N7993" t="s">
        <v>1450</v>
      </c>
    </row>
    <row r="7994" spans="3:14">
      <c r="C7994">
        <v>2100300025</v>
      </c>
      <c r="D7994">
        <v>6426000</v>
      </c>
      <c r="E7994" t="s">
        <v>188</v>
      </c>
      <c r="F7994">
        <v>5104030206</v>
      </c>
      <c r="G7994" s="13">
        <v>-128000</v>
      </c>
      <c r="I7994" t="s">
        <v>150</v>
      </c>
      <c r="J7994" t="s">
        <v>935</v>
      </c>
      <c r="K7994" t="s">
        <v>522</v>
      </c>
      <c r="L7994">
        <v>8000617502</v>
      </c>
      <c r="N7994" t="s">
        <v>1450</v>
      </c>
    </row>
    <row r="7995" spans="3:14">
      <c r="C7995">
        <v>2100300025</v>
      </c>
      <c r="D7995">
        <v>6426000</v>
      </c>
      <c r="E7995" t="s">
        <v>188</v>
      </c>
      <c r="F7995">
        <v>5104030206</v>
      </c>
      <c r="G7995" s="13">
        <v>-100000</v>
      </c>
      <c r="I7995" t="s">
        <v>150</v>
      </c>
      <c r="J7995" t="s">
        <v>935</v>
      </c>
      <c r="K7995" t="s">
        <v>522</v>
      </c>
      <c r="L7995">
        <v>8000617502</v>
      </c>
      <c r="N7995" t="s">
        <v>1450</v>
      </c>
    </row>
    <row r="7996" spans="3:14">
      <c r="C7996">
        <v>2100300025</v>
      </c>
      <c r="D7996">
        <v>6426000</v>
      </c>
      <c r="E7996" t="s">
        <v>188</v>
      </c>
      <c r="F7996">
        <v>5104030206</v>
      </c>
      <c r="G7996" s="13">
        <v>-63250</v>
      </c>
      <c r="I7996" t="s">
        <v>150</v>
      </c>
      <c r="J7996" t="s">
        <v>935</v>
      </c>
      <c r="K7996" t="s">
        <v>522</v>
      </c>
      <c r="L7996">
        <v>8000617502</v>
      </c>
      <c r="N7996" t="s">
        <v>1450</v>
      </c>
    </row>
    <row r="7997" spans="3:14">
      <c r="C7997">
        <v>2100300025</v>
      </c>
      <c r="D7997">
        <v>6426000</v>
      </c>
      <c r="E7997" t="s">
        <v>188</v>
      </c>
      <c r="F7997">
        <v>5104030206</v>
      </c>
      <c r="G7997" s="13">
        <v>9500</v>
      </c>
      <c r="I7997" t="s">
        <v>150</v>
      </c>
      <c r="J7997" t="s">
        <v>581</v>
      </c>
      <c r="K7997" t="s">
        <v>522</v>
      </c>
      <c r="L7997">
        <v>8000630173</v>
      </c>
      <c r="N7997" t="s">
        <v>1451</v>
      </c>
    </row>
    <row r="7998" spans="3:14">
      <c r="C7998">
        <v>2100300025</v>
      </c>
      <c r="D7998">
        <v>6426000</v>
      </c>
      <c r="E7998" t="s">
        <v>188</v>
      </c>
      <c r="F7998">
        <v>5104030206</v>
      </c>
      <c r="G7998" s="13">
        <v>12500</v>
      </c>
      <c r="I7998" t="s">
        <v>150</v>
      </c>
      <c r="J7998" t="s">
        <v>800</v>
      </c>
      <c r="K7998" t="s">
        <v>522</v>
      </c>
      <c r="L7998">
        <v>8000902398</v>
      </c>
      <c r="N7998" t="s">
        <v>1031</v>
      </c>
    </row>
    <row r="7999" spans="3:14">
      <c r="C7999">
        <v>2100300025</v>
      </c>
      <c r="D7999">
        <v>6426000</v>
      </c>
      <c r="E7999" t="s">
        <v>188</v>
      </c>
      <c r="F7999">
        <v>5104030206</v>
      </c>
      <c r="G7999" s="13">
        <v>6800</v>
      </c>
      <c r="I7999" t="s">
        <v>150</v>
      </c>
      <c r="J7999" t="s">
        <v>904</v>
      </c>
      <c r="K7999" t="s">
        <v>522</v>
      </c>
      <c r="L7999">
        <v>8000032879</v>
      </c>
      <c r="N7999" t="s">
        <v>1453</v>
      </c>
    </row>
    <row r="8000" spans="3:14">
      <c r="C8000">
        <v>2100300025</v>
      </c>
      <c r="D8000">
        <v>6426000</v>
      </c>
      <c r="E8000" t="s">
        <v>188</v>
      </c>
      <c r="F8000">
        <v>5104030206</v>
      </c>
      <c r="G8000" s="13">
        <v>9470</v>
      </c>
      <c r="I8000" t="s">
        <v>150</v>
      </c>
      <c r="J8000" t="s">
        <v>579</v>
      </c>
      <c r="K8000" t="s">
        <v>522</v>
      </c>
      <c r="L8000">
        <v>8000479728</v>
      </c>
      <c r="N8000" t="s">
        <v>1446</v>
      </c>
    </row>
    <row r="8001" spans="3:14">
      <c r="C8001">
        <v>2100300025</v>
      </c>
      <c r="D8001">
        <v>6426000</v>
      </c>
      <c r="E8001" t="s">
        <v>188</v>
      </c>
      <c r="F8001">
        <v>5104030206</v>
      </c>
      <c r="G8001" s="13">
        <v>-9500</v>
      </c>
      <c r="I8001" t="s">
        <v>150</v>
      </c>
      <c r="J8001" t="s">
        <v>581</v>
      </c>
      <c r="K8001" t="s">
        <v>522</v>
      </c>
      <c r="L8001">
        <v>8000630172</v>
      </c>
      <c r="N8001" t="s">
        <v>1451</v>
      </c>
    </row>
    <row r="8002" spans="3:14">
      <c r="C8002">
        <v>2100300025</v>
      </c>
      <c r="D8002">
        <v>6426000</v>
      </c>
      <c r="E8002" t="s">
        <v>188</v>
      </c>
      <c r="F8002">
        <v>5104030206</v>
      </c>
      <c r="G8002" s="13">
        <v>14000</v>
      </c>
      <c r="I8002" t="s">
        <v>150</v>
      </c>
      <c r="J8002" t="s">
        <v>837</v>
      </c>
      <c r="K8002" t="s">
        <v>522</v>
      </c>
      <c r="L8002">
        <v>8000479803</v>
      </c>
      <c r="N8002" t="s">
        <v>1454</v>
      </c>
    </row>
    <row r="8003" spans="3:14">
      <c r="C8003">
        <v>2100300025</v>
      </c>
      <c r="D8003">
        <v>6426000</v>
      </c>
      <c r="E8003" t="s">
        <v>188</v>
      </c>
      <c r="F8003">
        <v>5104030206</v>
      </c>
      <c r="G8003" s="13">
        <v>219640</v>
      </c>
      <c r="I8003" t="s">
        <v>150</v>
      </c>
      <c r="J8003" t="s">
        <v>837</v>
      </c>
      <c r="K8003" t="s">
        <v>522</v>
      </c>
      <c r="L8003">
        <v>8000467442</v>
      </c>
      <c r="N8003" t="s">
        <v>1455</v>
      </c>
    </row>
    <row r="8004" spans="3:14">
      <c r="C8004">
        <v>2100300025</v>
      </c>
      <c r="D8004">
        <v>6426000</v>
      </c>
      <c r="E8004" t="s">
        <v>188</v>
      </c>
      <c r="F8004">
        <v>5104030206</v>
      </c>
      <c r="G8004" s="13">
        <v>8000</v>
      </c>
      <c r="I8004" t="s">
        <v>150</v>
      </c>
      <c r="J8004" t="s">
        <v>581</v>
      </c>
      <c r="K8004" t="s">
        <v>522</v>
      </c>
      <c r="L8004">
        <v>8000603668</v>
      </c>
      <c r="N8004" t="s">
        <v>1451</v>
      </c>
    </row>
    <row r="8005" spans="3:14">
      <c r="C8005">
        <v>2100300025</v>
      </c>
      <c r="D8005">
        <v>6426000</v>
      </c>
      <c r="E8005" t="s">
        <v>188</v>
      </c>
      <c r="F8005">
        <v>5104030206</v>
      </c>
      <c r="G8005" s="13">
        <v>-8506.5</v>
      </c>
      <c r="I8005" t="s">
        <v>150</v>
      </c>
      <c r="J8005" t="s">
        <v>583</v>
      </c>
      <c r="K8005" t="s">
        <v>522</v>
      </c>
      <c r="L8005">
        <v>8000767604</v>
      </c>
      <c r="N8005" t="s">
        <v>1452</v>
      </c>
    </row>
    <row r="8006" spans="3:14">
      <c r="C8006">
        <v>2100300025</v>
      </c>
      <c r="D8006">
        <v>6426000</v>
      </c>
      <c r="E8006" t="s">
        <v>188</v>
      </c>
      <c r="F8006">
        <v>5104030206</v>
      </c>
      <c r="G8006" s="13">
        <v>8506.5</v>
      </c>
      <c r="I8006" t="s">
        <v>150</v>
      </c>
      <c r="J8006" t="s">
        <v>583</v>
      </c>
      <c r="K8006" t="s">
        <v>522</v>
      </c>
      <c r="L8006">
        <v>8000767606</v>
      </c>
      <c r="N8006" t="s">
        <v>1452</v>
      </c>
    </row>
    <row r="8007" spans="3:14">
      <c r="C8007">
        <v>2100300025</v>
      </c>
      <c r="D8007">
        <v>6426000</v>
      </c>
      <c r="E8007" t="s">
        <v>188</v>
      </c>
      <c r="F8007">
        <v>5104030206</v>
      </c>
      <c r="G8007" s="13">
        <v>2100</v>
      </c>
      <c r="I8007" t="s">
        <v>150</v>
      </c>
      <c r="J8007" t="s">
        <v>849</v>
      </c>
      <c r="K8007" t="s">
        <v>522</v>
      </c>
      <c r="L8007">
        <v>8000756341</v>
      </c>
      <c r="N8007" t="s">
        <v>1031</v>
      </c>
    </row>
    <row r="8008" spans="3:14">
      <c r="C8008">
        <v>2100300025</v>
      </c>
      <c r="D8008">
        <v>6426000</v>
      </c>
      <c r="E8008" t="s">
        <v>188</v>
      </c>
      <c r="F8008">
        <v>5104030206</v>
      </c>
      <c r="G8008" s="13">
        <v>8506.5</v>
      </c>
      <c r="I8008" t="s">
        <v>150</v>
      </c>
      <c r="J8008" t="s">
        <v>952</v>
      </c>
      <c r="K8008" t="s">
        <v>522</v>
      </c>
      <c r="L8008">
        <v>8000805329</v>
      </c>
      <c r="N8008" t="s">
        <v>1452</v>
      </c>
    </row>
    <row r="8009" spans="3:14">
      <c r="C8009">
        <v>2100300025</v>
      </c>
      <c r="D8009">
        <v>6426000</v>
      </c>
      <c r="E8009" t="s">
        <v>188</v>
      </c>
      <c r="F8009">
        <v>5104030206</v>
      </c>
      <c r="G8009" s="13">
        <v>3000</v>
      </c>
      <c r="I8009" t="s">
        <v>150</v>
      </c>
      <c r="J8009" t="s">
        <v>800</v>
      </c>
      <c r="K8009" t="s">
        <v>522</v>
      </c>
      <c r="L8009">
        <v>8000955497</v>
      </c>
      <c r="N8009" t="s">
        <v>1031</v>
      </c>
    </row>
    <row r="8010" spans="3:14">
      <c r="C8010">
        <v>2100300025</v>
      </c>
      <c r="D8010">
        <v>6426000</v>
      </c>
      <c r="E8010" t="s">
        <v>188</v>
      </c>
      <c r="F8010">
        <v>5104030206</v>
      </c>
      <c r="G8010" s="13">
        <v>3700</v>
      </c>
      <c r="I8010" t="s">
        <v>150</v>
      </c>
      <c r="J8010" t="s">
        <v>800</v>
      </c>
      <c r="K8010" t="s">
        <v>522</v>
      </c>
      <c r="L8010">
        <v>8000955497</v>
      </c>
      <c r="N8010" t="s">
        <v>1031</v>
      </c>
    </row>
    <row r="8011" spans="3:14">
      <c r="C8011">
        <v>2100300025</v>
      </c>
      <c r="D8011">
        <v>6426000</v>
      </c>
      <c r="E8011" t="s">
        <v>188</v>
      </c>
      <c r="F8011">
        <v>5104030206</v>
      </c>
      <c r="G8011" s="13">
        <v>3380</v>
      </c>
      <c r="I8011" t="s">
        <v>150</v>
      </c>
      <c r="J8011" t="s">
        <v>800</v>
      </c>
      <c r="K8011" t="s">
        <v>522</v>
      </c>
      <c r="L8011">
        <v>8000955497</v>
      </c>
      <c r="N8011" t="s">
        <v>1031</v>
      </c>
    </row>
    <row r="8012" spans="3:14">
      <c r="C8012">
        <v>2100300025</v>
      </c>
      <c r="D8012">
        <v>6426000</v>
      </c>
      <c r="E8012" t="s">
        <v>188</v>
      </c>
      <c r="F8012">
        <v>5104030206</v>
      </c>
      <c r="G8012" s="13">
        <v>29000</v>
      </c>
      <c r="I8012" t="s">
        <v>150</v>
      </c>
      <c r="J8012" t="s">
        <v>800</v>
      </c>
      <c r="K8012" t="s">
        <v>522</v>
      </c>
      <c r="L8012">
        <v>8000955497</v>
      </c>
      <c r="N8012" t="s">
        <v>1031</v>
      </c>
    </row>
    <row r="8013" spans="3:14">
      <c r="C8013">
        <v>2100300025</v>
      </c>
      <c r="D8013">
        <v>6426000</v>
      </c>
      <c r="E8013" t="s">
        <v>188</v>
      </c>
      <c r="F8013">
        <v>5104030206</v>
      </c>
      <c r="G8013" s="13">
        <v>23120</v>
      </c>
      <c r="I8013" t="s">
        <v>150</v>
      </c>
      <c r="J8013" t="s">
        <v>800</v>
      </c>
      <c r="K8013" t="s">
        <v>522</v>
      </c>
      <c r="L8013">
        <v>8000955497</v>
      </c>
      <c r="N8013" t="s">
        <v>1031</v>
      </c>
    </row>
    <row r="8014" spans="3:14">
      <c r="C8014">
        <v>2100300025</v>
      </c>
      <c r="D8014">
        <v>6426000</v>
      </c>
      <c r="E8014" t="s">
        <v>188</v>
      </c>
      <c r="F8014">
        <v>5104030206</v>
      </c>
      <c r="G8014" s="13">
        <v>45500</v>
      </c>
      <c r="I8014" t="s">
        <v>150</v>
      </c>
      <c r="J8014" t="s">
        <v>964</v>
      </c>
      <c r="K8014" t="s">
        <v>522</v>
      </c>
      <c r="L8014">
        <v>8001029180</v>
      </c>
      <c r="N8014" t="s">
        <v>1031</v>
      </c>
    </row>
    <row r="8015" spans="3:14">
      <c r="C8015">
        <v>2100300025</v>
      </c>
      <c r="D8015">
        <v>6426000</v>
      </c>
      <c r="E8015" t="s">
        <v>188</v>
      </c>
      <c r="F8015">
        <v>5104030206</v>
      </c>
      <c r="G8015" s="13">
        <v>5000</v>
      </c>
      <c r="I8015" t="s">
        <v>150</v>
      </c>
      <c r="J8015" t="s">
        <v>964</v>
      </c>
      <c r="K8015" t="s">
        <v>522</v>
      </c>
      <c r="L8015">
        <v>8001029180</v>
      </c>
      <c r="N8015" t="s">
        <v>1031</v>
      </c>
    </row>
    <row r="8016" spans="3:14">
      <c r="C8016">
        <v>2100300025</v>
      </c>
      <c r="D8016">
        <v>6426000</v>
      </c>
      <c r="E8016" t="s">
        <v>188</v>
      </c>
      <c r="F8016">
        <v>5104030206</v>
      </c>
      <c r="G8016" s="13">
        <v>4700</v>
      </c>
      <c r="I8016" t="s">
        <v>150</v>
      </c>
      <c r="J8016" t="s">
        <v>964</v>
      </c>
      <c r="K8016" t="s">
        <v>522</v>
      </c>
      <c r="L8016">
        <v>8001029180</v>
      </c>
      <c r="N8016" t="s">
        <v>1031</v>
      </c>
    </row>
    <row r="8017" spans="3:14">
      <c r="C8017">
        <v>2100300025</v>
      </c>
      <c r="D8017">
        <v>6426000</v>
      </c>
      <c r="E8017" t="s">
        <v>188</v>
      </c>
      <c r="F8017">
        <v>5104030206</v>
      </c>
      <c r="G8017" s="13">
        <v>10000</v>
      </c>
      <c r="I8017" t="s">
        <v>150</v>
      </c>
      <c r="J8017" t="s">
        <v>964</v>
      </c>
      <c r="K8017" t="s">
        <v>522</v>
      </c>
      <c r="L8017">
        <v>8001029180</v>
      </c>
      <c r="N8017" t="s">
        <v>1031</v>
      </c>
    </row>
    <row r="8018" spans="3:14">
      <c r="C8018">
        <v>2100300025</v>
      </c>
      <c r="D8018">
        <v>6426000</v>
      </c>
      <c r="E8018" t="s">
        <v>188</v>
      </c>
      <c r="F8018">
        <v>5104030206</v>
      </c>
      <c r="G8018" s="13">
        <v>25200</v>
      </c>
      <c r="I8018" t="s">
        <v>150</v>
      </c>
      <c r="J8018" t="s">
        <v>964</v>
      </c>
      <c r="K8018" t="s">
        <v>522</v>
      </c>
      <c r="L8018">
        <v>8001029180</v>
      </c>
      <c r="N8018" t="s">
        <v>1031</v>
      </c>
    </row>
    <row r="8019" spans="3:14">
      <c r="C8019">
        <v>2100300025</v>
      </c>
      <c r="D8019">
        <v>6426000</v>
      </c>
      <c r="E8019" t="s">
        <v>188</v>
      </c>
      <c r="F8019">
        <v>5104030206</v>
      </c>
      <c r="G8019" s="13">
        <v>4470</v>
      </c>
      <c r="I8019" t="s">
        <v>150</v>
      </c>
      <c r="J8019" t="s">
        <v>936</v>
      </c>
      <c r="K8019" t="s">
        <v>522</v>
      </c>
      <c r="L8019">
        <v>8000591384</v>
      </c>
      <c r="N8019" t="s">
        <v>1449</v>
      </c>
    </row>
    <row r="8020" spans="3:14">
      <c r="C8020">
        <v>2100300025</v>
      </c>
      <c r="D8020">
        <v>6426000</v>
      </c>
      <c r="E8020" t="s">
        <v>188</v>
      </c>
      <c r="F8020">
        <v>5104030206</v>
      </c>
      <c r="G8020" s="13">
        <v>5600</v>
      </c>
      <c r="I8020" t="s">
        <v>150</v>
      </c>
      <c r="J8020" t="s">
        <v>964</v>
      </c>
      <c r="K8020" t="s">
        <v>522</v>
      </c>
      <c r="L8020">
        <v>8001029180</v>
      </c>
      <c r="N8020" t="s">
        <v>1031</v>
      </c>
    </row>
    <row r="8021" spans="3:14">
      <c r="C8021">
        <v>2100300025</v>
      </c>
      <c r="D8021">
        <v>6426000</v>
      </c>
      <c r="E8021" t="s">
        <v>188</v>
      </c>
      <c r="F8021">
        <v>5104030206</v>
      </c>
      <c r="G8021" s="13">
        <v>5600</v>
      </c>
      <c r="I8021" t="s">
        <v>150</v>
      </c>
      <c r="J8021" t="s">
        <v>964</v>
      </c>
      <c r="K8021" t="s">
        <v>522</v>
      </c>
      <c r="L8021">
        <v>8001029180</v>
      </c>
      <c r="N8021" t="s">
        <v>1031</v>
      </c>
    </row>
    <row r="8022" spans="3:14">
      <c r="C8022">
        <v>2100300025</v>
      </c>
      <c r="D8022">
        <v>6426000</v>
      </c>
      <c r="E8022" t="s">
        <v>188</v>
      </c>
      <c r="F8022">
        <v>5104030206</v>
      </c>
      <c r="G8022" s="13">
        <v>9500</v>
      </c>
      <c r="I8022" t="s">
        <v>150</v>
      </c>
      <c r="J8022" t="s">
        <v>964</v>
      </c>
      <c r="K8022" t="s">
        <v>522</v>
      </c>
      <c r="L8022">
        <v>8001029180</v>
      </c>
      <c r="N8022" t="s">
        <v>1031</v>
      </c>
    </row>
    <row r="8023" spans="3:14">
      <c r="C8023">
        <v>2100300025</v>
      </c>
      <c r="D8023">
        <v>6426000</v>
      </c>
      <c r="E8023" t="s">
        <v>188</v>
      </c>
      <c r="F8023">
        <v>5104030206</v>
      </c>
      <c r="G8023" s="13">
        <v>3800</v>
      </c>
      <c r="I8023" t="s">
        <v>150</v>
      </c>
      <c r="J8023" t="s">
        <v>964</v>
      </c>
      <c r="K8023" t="s">
        <v>522</v>
      </c>
      <c r="L8023">
        <v>8001029180</v>
      </c>
      <c r="N8023" t="s">
        <v>1031</v>
      </c>
    </row>
    <row r="8024" spans="3:14">
      <c r="C8024">
        <v>2100300025</v>
      </c>
      <c r="D8024">
        <v>6426000</v>
      </c>
      <c r="E8024" t="s">
        <v>188</v>
      </c>
      <c r="F8024">
        <v>5104030206</v>
      </c>
      <c r="G8024" s="13">
        <v>6500</v>
      </c>
      <c r="I8024" t="s">
        <v>150</v>
      </c>
      <c r="J8024" t="s">
        <v>964</v>
      </c>
      <c r="K8024" t="s">
        <v>522</v>
      </c>
      <c r="L8024">
        <v>8001029180</v>
      </c>
      <c r="N8024" t="s">
        <v>1031</v>
      </c>
    </row>
    <row r="8025" spans="3:14">
      <c r="C8025">
        <v>2100300025</v>
      </c>
      <c r="D8025">
        <v>6426000</v>
      </c>
      <c r="E8025" t="s">
        <v>188</v>
      </c>
      <c r="F8025">
        <v>5104030206</v>
      </c>
      <c r="G8025" s="13">
        <v>5600</v>
      </c>
      <c r="I8025" t="s">
        <v>150</v>
      </c>
      <c r="J8025" t="s">
        <v>964</v>
      </c>
      <c r="K8025" t="s">
        <v>522</v>
      </c>
      <c r="L8025">
        <v>8001029180</v>
      </c>
      <c r="N8025" t="s">
        <v>1031</v>
      </c>
    </row>
    <row r="8026" spans="3:14">
      <c r="C8026">
        <v>2100300025</v>
      </c>
      <c r="D8026">
        <v>6426000</v>
      </c>
      <c r="E8026" t="s">
        <v>188</v>
      </c>
      <c r="F8026">
        <v>5104030206</v>
      </c>
      <c r="G8026" s="13">
        <v>7000</v>
      </c>
      <c r="I8026" t="s">
        <v>150</v>
      </c>
      <c r="J8026" t="s">
        <v>964</v>
      </c>
      <c r="K8026" t="s">
        <v>522</v>
      </c>
      <c r="L8026">
        <v>8001029180</v>
      </c>
      <c r="N8026" t="s">
        <v>1031</v>
      </c>
    </row>
    <row r="8027" spans="3:14">
      <c r="C8027">
        <v>2100300025</v>
      </c>
      <c r="D8027">
        <v>6426000</v>
      </c>
      <c r="E8027" t="s">
        <v>188</v>
      </c>
      <c r="F8027">
        <v>5104030206</v>
      </c>
      <c r="G8027" s="13">
        <v>128000</v>
      </c>
      <c r="I8027" t="s">
        <v>150</v>
      </c>
      <c r="J8027" t="s">
        <v>964</v>
      </c>
      <c r="K8027" t="s">
        <v>522</v>
      </c>
      <c r="L8027">
        <v>8001029180</v>
      </c>
      <c r="N8027" t="s">
        <v>1031</v>
      </c>
    </row>
    <row r="8028" spans="3:14">
      <c r="C8028">
        <v>2100300025</v>
      </c>
      <c r="D8028">
        <v>6426000</v>
      </c>
      <c r="E8028" t="s">
        <v>188</v>
      </c>
      <c r="F8028">
        <v>5104030206</v>
      </c>
      <c r="G8028" s="13">
        <v>3500</v>
      </c>
      <c r="I8028" t="s">
        <v>150</v>
      </c>
      <c r="J8028" t="s">
        <v>964</v>
      </c>
      <c r="K8028" t="s">
        <v>522</v>
      </c>
      <c r="L8028">
        <v>8001029180</v>
      </c>
      <c r="N8028" t="s">
        <v>1031</v>
      </c>
    </row>
    <row r="8029" spans="3:14">
      <c r="C8029">
        <v>2100300025</v>
      </c>
      <c r="D8029">
        <v>6426000</v>
      </c>
      <c r="E8029" t="s">
        <v>188</v>
      </c>
      <c r="F8029">
        <v>5104030206</v>
      </c>
      <c r="G8029" s="13">
        <v>12500</v>
      </c>
      <c r="I8029" t="s">
        <v>150</v>
      </c>
      <c r="J8029" t="s">
        <v>964</v>
      </c>
      <c r="K8029" t="s">
        <v>522</v>
      </c>
      <c r="L8029">
        <v>8001029180</v>
      </c>
      <c r="N8029" t="s">
        <v>1031</v>
      </c>
    </row>
    <row r="8030" spans="3:14">
      <c r="C8030">
        <v>2100300025</v>
      </c>
      <c r="D8030">
        <v>6426000</v>
      </c>
      <c r="E8030" t="s">
        <v>188</v>
      </c>
      <c r="F8030">
        <v>5104030206</v>
      </c>
      <c r="G8030" s="13">
        <v>10500</v>
      </c>
      <c r="I8030" t="s">
        <v>150</v>
      </c>
      <c r="J8030" t="s">
        <v>964</v>
      </c>
      <c r="K8030" t="s">
        <v>522</v>
      </c>
      <c r="L8030">
        <v>8001029180</v>
      </c>
      <c r="N8030" t="s">
        <v>1031</v>
      </c>
    </row>
    <row r="8031" spans="3:14">
      <c r="C8031">
        <v>2100300025</v>
      </c>
      <c r="D8031">
        <v>6426000</v>
      </c>
      <c r="E8031" t="s">
        <v>188</v>
      </c>
      <c r="F8031">
        <v>5104030206</v>
      </c>
      <c r="G8031" s="13">
        <v>7500</v>
      </c>
      <c r="I8031" t="s">
        <v>150</v>
      </c>
      <c r="J8031" t="s">
        <v>964</v>
      </c>
      <c r="K8031" t="s">
        <v>522</v>
      </c>
      <c r="L8031">
        <v>8001029180</v>
      </c>
      <c r="N8031" t="s">
        <v>1031</v>
      </c>
    </row>
    <row r="8032" spans="3:14">
      <c r="C8032">
        <v>2100300025</v>
      </c>
      <c r="D8032">
        <v>6426000</v>
      </c>
      <c r="E8032" t="s">
        <v>188</v>
      </c>
      <c r="F8032">
        <v>5104030206</v>
      </c>
      <c r="G8032" s="13">
        <v>2300</v>
      </c>
      <c r="I8032" t="s">
        <v>150</v>
      </c>
      <c r="J8032" t="s">
        <v>964</v>
      </c>
      <c r="K8032" t="s">
        <v>522</v>
      </c>
      <c r="L8032">
        <v>8001029180</v>
      </c>
      <c r="N8032" t="s">
        <v>1031</v>
      </c>
    </row>
    <row r="8033" spans="3:14">
      <c r="C8033">
        <v>2100300025</v>
      </c>
      <c r="D8033">
        <v>6426000</v>
      </c>
      <c r="E8033" t="s">
        <v>188</v>
      </c>
      <c r="F8033">
        <v>5104030206</v>
      </c>
      <c r="G8033" s="13">
        <v>4000</v>
      </c>
      <c r="I8033" t="s">
        <v>150</v>
      </c>
      <c r="J8033" t="s">
        <v>964</v>
      </c>
      <c r="K8033" t="s">
        <v>522</v>
      </c>
      <c r="L8033">
        <v>8001029180</v>
      </c>
      <c r="N8033" t="s">
        <v>1031</v>
      </c>
    </row>
    <row r="8034" spans="3:14">
      <c r="C8034">
        <v>2100300025</v>
      </c>
      <c r="D8034">
        <v>6426000</v>
      </c>
      <c r="E8034" t="s">
        <v>188</v>
      </c>
      <c r="F8034">
        <v>5104030206</v>
      </c>
      <c r="G8034" s="13">
        <v>18500</v>
      </c>
      <c r="I8034" t="s">
        <v>150</v>
      </c>
      <c r="J8034" t="s">
        <v>983</v>
      </c>
      <c r="K8034" t="s">
        <v>522</v>
      </c>
      <c r="L8034">
        <v>8001360026</v>
      </c>
      <c r="N8034" t="s">
        <v>1031</v>
      </c>
    </row>
    <row r="8035" spans="3:14">
      <c r="C8035">
        <v>2100300025</v>
      </c>
      <c r="D8035">
        <v>6426000</v>
      </c>
      <c r="E8035" t="s">
        <v>188</v>
      </c>
      <c r="F8035">
        <v>5104030206</v>
      </c>
      <c r="G8035" s="13">
        <v>9390</v>
      </c>
      <c r="I8035" t="s">
        <v>150</v>
      </c>
      <c r="J8035" t="s">
        <v>855</v>
      </c>
      <c r="K8035" t="s">
        <v>522</v>
      </c>
      <c r="L8035">
        <v>8000957267</v>
      </c>
      <c r="N8035" t="s">
        <v>1455</v>
      </c>
    </row>
    <row r="8036" spans="3:14">
      <c r="C8036">
        <v>2100300025</v>
      </c>
      <c r="D8036">
        <v>6426000</v>
      </c>
      <c r="E8036" t="s">
        <v>188</v>
      </c>
      <c r="F8036">
        <v>5104030206</v>
      </c>
      <c r="G8036" s="13">
        <v>11980</v>
      </c>
      <c r="I8036" t="s">
        <v>150</v>
      </c>
      <c r="J8036" t="s">
        <v>970</v>
      </c>
      <c r="K8036" t="s">
        <v>522</v>
      </c>
      <c r="L8036">
        <v>8001183870</v>
      </c>
      <c r="N8036" t="s">
        <v>1031</v>
      </c>
    </row>
    <row r="8037" spans="3:14">
      <c r="C8037">
        <v>2100300025</v>
      </c>
      <c r="D8037">
        <v>6426000</v>
      </c>
      <c r="E8037" t="s">
        <v>188</v>
      </c>
      <c r="F8037">
        <v>5104030206</v>
      </c>
      <c r="G8037" s="13">
        <v>495000</v>
      </c>
      <c r="I8037" t="s">
        <v>150</v>
      </c>
      <c r="J8037" t="s">
        <v>977</v>
      </c>
      <c r="K8037" t="s">
        <v>522</v>
      </c>
      <c r="L8037">
        <v>8001221573</v>
      </c>
      <c r="N8037" t="s">
        <v>1447</v>
      </c>
    </row>
    <row r="8038" spans="3:14">
      <c r="C8038">
        <v>2100300025</v>
      </c>
      <c r="D8038">
        <v>6426000</v>
      </c>
      <c r="E8038" t="s">
        <v>188</v>
      </c>
      <c r="F8038">
        <v>5104030206</v>
      </c>
      <c r="G8038" s="13">
        <v>7090</v>
      </c>
      <c r="I8038" t="s">
        <v>150</v>
      </c>
      <c r="J8038" t="s">
        <v>977</v>
      </c>
      <c r="K8038" t="s">
        <v>522</v>
      </c>
      <c r="L8038">
        <v>8001203372</v>
      </c>
      <c r="N8038" t="s">
        <v>1031</v>
      </c>
    </row>
    <row r="8039" spans="3:14">
      <c r="C8039">
        <v>2100300025</v>
      </c>
      <c r="D8039">
        <v>6426000</v>
      </c>
      <c r="E8039" t="s">
        <v>188</v>
      </c>
      <c r="F8039">
        <v>5104030206</v>
      </c>
      <c r="G8039" s="13">
        <v>14300</v>
      </c>
      <c r="I8039" t="s">
        <v>150</v>
      </c>
      <c r="J8039" t="s">
        <v>862</v>
      </c>
      <c r="K8039" t="s">
        <v>522</v>
      </c>
      <c r="L8039">
        <v>8001311858</v>
      </c>
      <c r="N8039" t="s">
        <v>1031</v>
      </c>
    </row>
    <row r="8040" spans="3:14">
      <c r="C8040">
        <v>2100300025</v>
      </c>
      <c r="D8040">
        <v>6426000</v>
      </c>
      <c r="E8040" t="s">
        <v>188</v>
      </c>
      <c r="F8040">
        <v>5104030206</v>
      </c>
      <c r="G8040" s="13">
        <v>15000</v>
      </c>
      <c r="I8040" t="s">
        <v>150</v>
      </c>
      <c r="J8040" t="s">
        <v>852</v>
      </c>
      <c r="K8040" t="s">
        <v>522</v>
      </c>
      <c r="L8040">
        <v>8000957237</v>
      </c>
      <c r="N8040" t="s">
        <v>1031</v>
      </c>
    </row>
    <row r="8041" spans="3:14">
      <c r="C8041">
        <v>2100300025</v>
      </c>
      <c r="D8041">
        <v>6426000</v>
      </c>
      <c r="E8041" t="s">
        <v>188</v>
      </c>
      <c r="F8041">
        <v>5104030206</v>
      </c>
      <c r="G8041" s="13">
        <v>9400</v>
      </c>
      <c r="I8041" t="s">
        <v>150</v>
      </c>
      <c r="J8041" t="s">
        <v>852</v>
      </c>
      <c r="K8041" t="s">
        <v>522</v>
      </c>
      <c r="L8041">
        <v>8000957237</v>
      </c>
      <c r="N8041" t="s">
        <v>1031</v>
      </c>
    </row>
    <row r="8042" spans="3:14">
      <c r="C8042">
        <v>2100300025</v>
      </c>
      <c r="D8042">
        <v>6426000</v>
      </c>
      <c r="E8042" t="s">
        <v>188</v>
      </c>
      <c r="F8042">
        <v>5104030206</v>
      </c>
      <c r="G8042" s="13">
        <v>16580</v>
      </c>
      <c r="I8042" t="s">
        <v>150</v>
      </c>
      <c r="J8042" t="s">
        <v>973</v>
      </c>
      <c r="K8042" t="s">
        <v>522</v>
      </c>
      <c r="L8042">
        <v>8001250512</v>
      </c>
      <c r="N8042" t="s">
        <v>1031</v>
      </c>
    </row>
    <row r="8043" spans="3:14">
      <c r="C8043">
        <v>2100300025</v>
      </c>
      <c r="D8043">
        <v>6426000</v>
      </c>
      <c r="E8043" t="s">
        <v>188</v>
      </c>
      <c r="F8043">
        <v>5104030206</v>
      </c>
      <c r="G8043" s="13">
        <v>23500</v>
      </c>
      <c r="I8043" t="s">
        <v>150</v>
      </c>
      <c r="J8043" t="s">
        <v>557</v>
      </c>
      <c r="K8043" t="s">
        <v>522</v>
      </c>
      <c r="L8043">
        <v>8001382079</v>
      </c>
      <c r="N8043" t="s">
        <v>1031</v>
      </c>
    </row>
    <row r="8044" spans="3:14">
      <c r="C8044">
        <v>2100300025</v>
      </c>
      <c r="D8044">
        <v>6426000</v>
      </c>
      <c r="E8044" t="s">
        <v>188</v>
      </c>
      <c r="F8044">
        <v>5104030212</v>
      </c>
      <c r="G8044" s="13">
        <v>19848.5</v>
      </c>
      <c r="I8044" t="s">
        <v>150</v>
      </c>
      <c r="J8044" t="s">
        <v>841</v>
      </c>
      <c r="K8044" t="s">
        <v>1044</v>
      </c>
      <c r="L8044">
        <v>8000701372</v>
      </c>
      <c r="N8044" t="s">
        <v>1031</v>
      </c>
    </row>
    <row r="8045" spans="3:14">
      <c r="C8045">
        <v>2100300025</v>
      </c>
      <c r="D8045">
        <v>6426000</v>
      </c>
      <c r="E8045" t="s">
        <v>188</v>
      </c>
      <c r="F8045">
        <v>5104030212</v>
      </c>
      <c r="G8045" s="13">
        <v>19848.5</v>
      </c>
      <c r="I8045" t="s">
        <v>150</v>
      </c>
      <c r="J8045" t="s">
        <v>944</v>
      </c>
      <c r="K8045" t="s">
        <v>1044</v>
      </c>
      <c r="L8045">
        <v>8000694216</v>
      </c>
      <c r="N8045" t="s">
        <v>1031</v>
      </c>
    </row>
    <row r="8046" spans="3:14">
      <c r="C8046">
        <v>2100300025</v>
      </c>
      <c r="D8046">
        <v>6411230</v>
      </c>
      <c r="E8046" t="s">
        <v>736</v>
      </c>
      <c r="F8046">
        <v>5104010104</v>
      </c>
      <c r="G8046" s="13">
        <v>-168525</v>
      </c>
      <c r="H8046" t="s">
        <v>1033</v>
      </c>
      <c r="I8046" t="s">
        <v>150</v>
      </c>
      <c r="J8046" t="s">
        <v>836</v>
      </c>
      <c r="K8046" t="s">
        <v>69</v>
      </c>
      <c r="L8046">
        <v>8000526498</v>
      </c>
      <c r="N8046" t="s">
        <v>1031</v>
      </c>
    </row>
    <row r="8047" spans="3:14">
      <c r="C8047">
        <v>2100300025</v>
      </c>
      <c r="D8047">
        <v>6411230</v>
      </c>
      <c r="E8047" t="s">
        <v>736</v>
      </c>
      <c r="F8047">
        <v>5104010104</v>
      </c>
      <c r="G8047" s="13">
        <v>111815</v>
      </c>
      <c r="H8047" t="s">
        <v>1033</v>
      </c>
      <c r="I8047" t="s">
        <v>150</v>
      </c>
      <c r="J8047" t="s">
        <v>564</v>
      </c>
      <c r="K8047" t="s">
        <v>69</v>
      </c>
      <c r="L8047">
        <v>8000506400</v>
      </c>
      <c r="N8047" t="s">
        <v>1031</v>
      </c>
    </row>
    <row r="8048" spans="3:14">
      <c r="C8048">
        <v>2100300025</v>
      </c>
      <c r="D8048">
        <v>6411230</v>
      </c>
      <c r="E8048" t="s">
        <v>736</v>
      </c>
      <c r="F8048">
        <v>5104010104</v>
      </c>
      <c r="G8048" s="13">
        <v>-88703</v>
      </c>
      <c r="H8048" t="s">
        <v>1033</v>
      </c>
      <c r="I8048" t="s">
        <v>150</v>
      </c>
      <c r="J8048" t="s">
        <v>836</v>
      </c>
      <c r="K8048" t="s">
        <v>69</v>
      </c>
      <c r="L8048">
        <v>8000526494</v>
      </c>
      <c r="N8048" t="s">
        <v>1031</v>
      </c>
    </row>
    <row r="8049" spans="3:14">
      <c r="C8049">
        <v>2100300025</v>
      </c>
      <c r="D8049">
        <v>6411230</v>
      </c>
      <c r="E8049" t="s">
        <v>736</v>
      </c>
      <c r="F8049">
        <v>5104010104</v>
      </c>
      <c r="G8049" s="13">
        <v>-360000</v>
      </c>
      <c r="H8049" t="s">
        <v>1033</v>
      </c>
      <c r="I8049" t="s">
        <v>150</v>
      </c>
      <c r="J8049" t="s">
        <v>930</v>
      </c>
      <c r="K8049" t="s">
        <v>69</v>
      </c>
      <c r="L8049">
        <v>8000526555</v>
      </c>
      <c r="N8049" t="s">
        <v>1031</v>
      </c>
    </row>
    <row r="8050" spans="3:14">
      <c r="C8050">
        <v>2100300025</v>
      </c>
      <c r="D8050">
        <v>6411230</v>
      </c>
      <c r="E8050" t="s">
        <v>736</v>
      </c>
      <c r="F8050">
        <v>5104010104</v>
      </c>
      <c r="G8050" s="13">
        <v>-96000</v>
      </c>
      <c r="H8050" t="s">
        <v>1033</v>
      </c>
      <c r="I8050" t="s">
        <v>150</v>
      </c>
      <c r="J8050" t="s">
        <v>836</v>
      </c>
      <c r="K8050" t="s">
        <v>69</v>
      </c>
      <c r="L8050">
        <v>8000527268</v>
      </c>
      <c r="N8050" t="s">
        <v>1031</v>
      </c>
    </row>
    <row r="8051" spans="3:14">
      <c r="C8051">
        <v>2100300025</v>
      </c>
      <c r="D8051">
        <v>6411230</v>
      </c>
      <c r="E8051" t="s">
        <v>736</v>
      </c>
      <c r="F8051">
        <v>5104010104</v>
      </c>
      <c r="G8051" s="13">
        <v>-80000</v>
      </c>
      <c r="H8051" t="s">
        <v>1033</v>
      </c>
      <c r="I8051" t="s">
        <v>150</v>
      </c>
      <c r="J8051" t="s">
        <v>930</v>
      </c>
      <c r="K8051" t="s">
        <v>69</v>
      </c>
      <c r="L8051">
        <v>8000527276</v>
      </c>
      <c r="N8051" t="s">
        <v>1031</v>
      </c>
    </row>
    <row r="8052" spans="3:14">
      <c r="C8052">
        <v>2100300025</v>
      </c>
      <c r="D8052">
        <v>6411230</v>
      </c>
      <c r="E8052" t="s">
        <v>736</v>
      </c>
      <c r="F8052">
        <v>5104010104</v>
      </c>
      <c r="G8052" s="13">
        <v>191958</v>
      </c>
      <c r="H8052" t="s">
        <v>1033</v>
      </c>
      <c r="I8052" t="s">
        <v>150</v>
      </c>
      <c r="J8052" t="s">
        <v>836</v>
      </c>
      <c r="K8052" t="s">
        <v>69</v>
      </c>
      <c r="L8052">
        <v>8000506377</v>
      </c>
      <c r="N8052" t="s">
        <v>1031</v>
      </c>
    </row>
    <row r="8053" spans="3:14">
      <c r="C8053">
        <v>2100300025</v>
      </c>
      <c r="D8053">
        <v>6411230</v>
      </c>
      <c r="E8053" t="s">
        <v>736</v>
      </c>
      <c r="F8053">
        <v>5104010104</v>
      </c>
      <c r="G8053" s="13">
        <v>88703</v>
      </c>
      <c r="H8053" t="s">
        <v>1033</v>
      </c>
      <c r="I8053" t="s">
        <v>150</v>
      </c>
      <c r="J8053" t="s">
        <v>836</v>
      </c>
      <c r="K8053" t="s">
        <v>69</v>
      </c>
      <c r="L8053">
        <v>8000506393</v>
      </c>
      <c r="N8053" t="s">
        <v>1031</v>
      </c>
    </row>
    <row r="8054" spans="3:14">
      <c r="C8054">
        <v>2100300025</v>
      </c>
      <c r="D8054">
        <v>6411230</v>
      </c>
      <c r="E8054" t="s">
        <v>736</v>
      </c>
      <c r="F8054">
        <v>5104010104</v>
      </c>
      <c r="G8054" s="13">
        <v>-80000</v>
      </c>
      <c r="H8054" t="s">
        <v>1033</v>
      </c>
      <c r="I8054" t="s">
        <v>150</v>
      </c>
      <c r="J8054" t="s">
        <v>564</v>
      </c>
      <c r="K8054" t="s">
        <v>69</v>
      </c>
      <c r="L8054">
        <v>8000508735</v>
      </c>
      <c r="N8054" t="s">
        <v>1031</v>
      </c>
    </row>
    <row r="8055" spans="3:14">
      <c r="C8055">
        <v>2100300025</v>
      </c>
      <c r="D8055">
        <v>6411230</v>
      </c>
      <c r="E8055" t="s">
        <v>736</v>
      </c>
      <c r="F8055">
        <v>5104010104</v>
      </c>
      <c r="G8055" s="13">
        <v>80000</v>
      </c>
      <c r="H8055" t="s">
        <v>1033</v>
      </c>
      <c r="I8055" t="s">
        <v>150</v>
      </c>
      <c r="J8055" t="s">
        <v>922</v>
      </c>
      <c r="K8055" t="s">
        <v>69</v>
      </c>
      <c r="L8055">
        <v>8000504727</v>
      </c>
      <c r="N8055" t="s">
        <v>1031</v>
      </c>
    </row>
    <row r="8056" spans="3:14">
      <c r="C8056">
        <v>2100300025</v>
      </c>
      <c r="D8056">
        <v>6411230</v>
      </c>
      <c r="E8056" t="s">
        <v>736</v>
      </c>
      <c r="F8056">
        <v>5104010104</v>
      </c>
      <c r="G8056" s="13">
        <v>-111815</v>
      </c>
      <c r="H8056" t="s">
        <v>1033</v>
      </c>
      <c r="I8056" t="s">
        <v>150</v>
      </c>
      <c r="J8056" t="s">
        <v>564</v>
      </c>
      <c r="K8056" t="s">
        <v>69</v>
      </c>
      <c r="L8056">
        <v>8000509822</v>
      </c>
      <c r="N8056" t="s">
        <v>1031</v>
      </c>
    </row>
    <row r="8057" spans="3:14">
      <c r="C8057">
        <v>2100300025</v>
      </c>
      <c r="D8057">
        <v>6411230</v>
      </c>
      <c r="E8057" t="s">
        <v>736</v>
      </c>
      <c r="F8057">
        <v>5104010104</v>
      </c>
      <c r="G8057" s="13">
        <v>111815</v>
      </c>
      <c r="H8057" t="s">
        <v>1033</v>
      </c>
      <c r="I8057" t="s">
        <v>150</v>
      </c>
      <c r="J8057" t="s">
        <v>922</v>
      </c>
      <c r="K8057" t="s">
        <v>69</v>
      </c>
      <c r="L8057">
        <v>8000509553</v>
      </c>
      <c r="N8057" t="s">
        <v>1031</v>
      </c>
    </row>
    <row r="8058" spans="3:14">
      <c r="C8058">
        <v>2100300025</v>
      </c>
      <c r="D8058">
        <v>6411230</v>
      </c>
      <c r="E8058" t="s">
        <v>736</v>
      </c>
      <c r="F8058">
        <v>5104010104</v>
      </c>
      <c r="G8058" s="13">
        <v>324500</v>
      </c>
      <c r="H8058" t="s">
        <v>1033</v>
      </c>
      <c r="I8058" t="s">
        <v>150</v>
      </c>
      <c r="J8058" t="s">
        <v>563</v>
      </c>
      <c r="K8058" t="s">
        <v>69</v>
      </c>
      <c r="L8058">
        <v>8000432273</v>
      </c>
      <c r="N8058" t="s">
        <v>1031</v>
      </c>
    </row>
    <row r="8059" spans="3:14">
      <c r="C8059">
        <v>2100300025</v>
      </c>
      <c r="D8059">
        <v>6411230</v>
      </c>
      <c r="E8059" t="s">
        <v>736</v>
      </c>
      <c r="F8059">
        <v>5104010104</v>
      </c>
      <c r="G8059" s="13">
        <v>360000</v>
      </c>
      <c r="H8059" t="s">
        <v>1033</v>
      </c>
      <c r="I8059" t="s">
        <v>150</v>
      </c>
      <c r="J8059" t="s">
        <v>554</v>
      </c>
      <c r="K8059" t="s">
        <v>69</v>
      </c>
      <c r="L8059">
        <v>8000506321</v>
      </c>
      <c r="N8059" t="s">
        <v>1031</v>
      </c>
    </row>
    <row r="8060" spans="3:14">
      <c r="C8060">
        <v>2100300025</v>
      </c>
      <c r="D8060">
        <v>6411230</v>
      </c>
      <c r="E8060" t="s">
        <v>736</v>
      </c>
      <c r="F8060">
        <v>5104010104</v>
      </c>
      <c r="G8060" s="13">
        <v>80000</v>
      </c>
      <c r="H8060" t="s">
        <v>1033</v>
      </c>
      <c r="I8060" t="s">
        <v>150</v>
      </c>
      <c r="J8060" t="s">
        <v>564</v>
      </c>
      <c r="K8060" t="s">
        <v>69</v>
      </c>
      <c r="L8060">
        <v>8000506389</v>
      </c>
      <c r="N8060" t="s">
        <v>1031</v>
      </c>
    </row>
    <row r="8061" spans="3:14">
      <c r="C8061">
        <v>2100300025</v>
      </c>
      <c r="D8061">
        <v>6411230</v>
      </c>
      <c r="E8061" t="s">
        <v>736</v>
      </c>
      <c r="F8061">
        <v>5104010104</v>
      </c>
      <c r="G8061" s="13">
        <v>96000</v>
      </c>
      <c r="H8061" t="s">
        <v>1033</v>
      </c>
      <c r="I8061" t="s">
        <v>150</v>
      </c>
      <c r="J8061" t="s">
        <v>836</v>
      </c>
      <c r="K8061" t="s">
        <v>69</v>
      </c>
      <c r="L8061">
        <v>8000506380</v>
      </c>
      <c r="N8061" t="s">
        <v>1031</v>
      </c>
    </row>
    <row r="8062" spans="3:14">
      <c r="C8062">
        <v>2100300025</v>
      </c>
      <c r="D8062">
        <v>6411230</v>
      </c>
      <c r="E8062" t="s">
        <v>736</v>
      </c>
      <c r="F8062">
        <v>5104010104</v>
      </c>
      <c r="G8062" s="13">
        <v>168525</v>
      </c>
      <c r="H8062" t="s">
        <v>1033</v>
      </c>
      <c r="I8062" t="s">
        <v>150</v>
      </c>
      <c r="J8062" t="s">
        <v>836</v>
      </c>
      <c r="K8062" t="s">
        <v>69</v>
      </c>
      <c r="L8062">
        <v>8000506386</v>
      </c>
      <c r="N8062" t="s">
        <v>1031</v>
      </c>
    </row>
    <row r="8063" spans="3:14">
      <c r="C8063">
        <v>2100300025</v>
      </c>
      <c r="D8063">
        <v>6411230</v>
      </c>
      <c r="E8063" t="s">
        <v>736</v>
      </c>
      <c r="F8063">
        <v>5104010104</v>
      </c>
      <c r="G8063" s="13">
        <v>-295320</v>
      </c>
      <c r="H8063" t="s">
        <v>1033</v>
      </c>
      <c r="I8063" t="s">
        <v>150</v>
      </c>
      <c r="J8063" t="s">
        <v>836</v>
      </c>
      <c r="K8063" t="s">
        <v>69</v>
      </c>
      <c r="L8063">
        <v>8000526530</v>
      </c>
      <c r="N8063" t="s">
        <v>1031</v>
      </c>
    </row>
    <row r="8064" spans="3:14">
      <c r="C8064">
        <v>2100300025</v>
      </c>
      <c r="D8064">
        <v>6411230</v>
      </c>
      <c r="E8064" t="s">
        <v>736</v>
      </c>
      <c r="F8064">
        <v>5104010104</v>
      </c>
      <c r="G8064" s="13">
        <v>-191958</v>
      </c>
      <c r="H8064" t="s">
        <v>1033</v>
      </c>
      <c r="I8064" t="s">
        <v>150</v>
      </c>
      <c r="J8064" t="s">
        <v>836</v>
      </c>
      <c r="K8064" t="s">
        <v>69</v>
      </c>
      <c r="L8064">
        <v>8000526948</v>
      </c>
      <c r="N8064" t="s">
        <v>1031</v>
      </c>
    </row>
    <row r="8065" spans="2:14">
      <c r="C8065">
        <v>2100300025</v>
      </c>
      <c r="D8065">
        <v>6411230</v>
      </c>
      <c r="E8065" t="s">
        <v>736</v>
      </c>
      <c r="F8065">
        <v>5104010104</v>
      </c>
      <c r="G8065" s="13">
        <v>-111815</v>
      </c>
      <c r="H8065" t="s">
        <v>1033</v>
      </c>
      <c r="I8065" t="s">
        <v>150</v>
      </c>
      <c r="J8065" t="s">
        <v>930</v>
      </c>
      <c r="K8065" t="s">
        <v>69</v>
      </c>
      <c r="L8065">
        <v>8000525912</v>
      </c>
      <c r="N8065" t="s">
        <v>1031</v>
      </c>
    </row>
    <row r="8066" spans="2:14">
      <c r="C8066">
        <v>2100300025</v>
      </c>
      <c r="D8066">
        <v>6411230</v>
      </c>
      <c r="E8066" t="s">
        <v>736</v>
      </c>
      <c r="F8066">
        <v>5104010104</v>
      </c>
      <c r="G8066" s="13">
        <v>295320</v>
      </c>
      <c r="H8066" t="s">
        <v>1033</v>
      </c>
      <c r="I8066" t="s">
        <v>150</v>
      </c>
      <c r="J8066" t="s">
        <v>836</v>
      </c>
      <c r="K8066" t="s">
        <v>69</v>
      </c>
      <c r="L8066">
        <v>8000506055</v>
      </c>
      <c r="N8066" t="s">
        <v>1031</v>
      </c>
    </row>
    <row r="8067" spans="2:14">
      <c r="C8067">
        <v>2100300025</v>
      </c>
      <c r="D8067">
        <v>6411230</v>
      </c>
      <c r="E8067" t="s">
        <v>1456</v>
      </c>
      <c r="F8067">
        <v>5104010104</v>
      </c>
      <c r="G8067" s="13">
        <v>173500</v>
      </c>
      <c r="H8067" t="s">
        <v>1457</v>
      </c>
      <c r="I8067" t="s">
        <v>150</v>
      </c>
      <c r="J8067" t="s">
        <v>563</v>
      </c>
      <c r="K8067" t="s">
        <v>69</v>
      </c>
      <c r="L8067">
        <v>8000432275</v>
      </c>
      <c r="N8067" t="s">
        <v>1031</v>
      </c>
    </row>
    <row r="8068" spans="2:14">
      <c r="C8068">
        <v>2100300025</v>
      </c>
      <c r="D8068">
        <v>6411220</v>
      </c>
      <c r="E8068" t="s">
        <v>1456</v>
      </c>
      <c r="F8068">
        <v>5104010107</v>
      </c>
      <c r="G8068" s="13">
        <v>4960000</v>
      </c>
      <c r="H8068" t="s">
        <v>1457</v>
      </c>
      <c r="I8068" t="s">
        <v>150</v>
      </c>
      <c r="J8068" t="s">
        <v>849</v>
      </c>
      <c r="K8068" t="s">
        <v>154</v>
      </c>
      <c r="L8068">
        <v>8000757066</v>
      </c>
      <c r="N8068" t="s">
        <v>1031</v>
      </c>
    </row>
    <row r="8069" spans="2:14">
      <c r="C8069">
        <v>2100300025</v>
      </c>
      <c r="D8069">
        <v>6411220</v>
      </c>
      <c r="E8069" t="s">
        <v>1456</v>
      </c>
      <c r="F8069">
        <v>5104010112</v>
      </c>
      <c r="G8069" s="13">
        <v>130000</v>
      </c>
      <c r="H8069" t="s">
        <v>1457</v>
      </c>
      <c r="I8069" t="s">
        <v>150</v>
      </c>
      <c r="J8069" t="s">
        <v>833</v>
      </c>
      <c r="K8069" t="s">
        <v>490</v>
      </c>
      <c r="L8069">
        <v>8000445881</v>
      </c>
      <c r="N8069" t="s">
        <v>1039</v>
      </c>
    </row>
    <row r="8070" spans="2:14">
      <c r="C8070">
        <v>2100300025</v>
      </c>
      <c r="D8070">
        <v>6411220</v>
      </c>
      <c r="E8070" t="s">
        <v>736</v>
      </c>
      <c r="F8070">
        <v>5104010112</v>
      </c>
      <c r="G8070" s="13">
        <v>179644</v>
      </c>
      <c r="H8070" t="s">
        <v>1033</v>
      </c>
      <c r="I8070" t="s">
        <v>150</v>
      </c>
      <c r="J8070" t="s">
        <v>945</v>
      </c>
      <c r="K8070" t="s">
        <v>490</v>
      </c>
      <c r="L8070">
        <v>8000704871</v>
      </c>
      <c r="N8070" t="s">
        <v>1031</v>
      </c>
    </row>
    <row r="8071" spans="2:14">
      <c r="C8071">
        <v>2100300025</v>
      </c>
      <c r="D8071">
        <v>6411230</v>
      </c>
      <c r="E8071" t="s">
        <v>1028</v>
      </c>
      <c r="F8071">
        <v>5104010112</v>
      </c>
      <c r="G8071" s="13">
        <v>15729</v>
      </c>
      <c r="H8071" t="s">
        <v>1029</v>
      </c>
      <c r="I8071" t="s">
        <v>150</v>
      </c>
      <c r="J8071" t="s">
        <v>974</v>
      </c>
      <c r="K8071" t="s">
        <v>490</v>
      </c>
      <c r="L8071">
        <v>8001224524</v>
      </c>
      <c r="N8071" t="s">
        <v>1039</v>
      </c>
    </row>
    <row r="8073" spans="2:14">
      <c r="B8073" t="s">
        <v>1458</v>
      </c>
      <c r="G8073" s="13">
        <v>847306069.85000002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46184-BCAF-4C28-96DB-E5DF60164A36}">
  <dimension ref="A1"/>
  <sheetViews>
    <sheetView workbookViewId="0">
      <selection activeCell="Y15" sqref="Y15"/>
    </sheetView>
  </sheetViews>
  <sheetFormatPr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36"/>
  <sheetViews>
    <sheetView topLeftCell="A18" workbookViewId="0">
      <selection activeCell="E44" sqref="E44"/>
    </sheetView>
  </sheetViews>
  <sheetFormatPr defaultRowHeight="24.95" customHeight="1"/>
  <cols>
    <col min="1" max="1" width="3.28515625" style="7" bestFit="1" customWidth="1"/>
    <col min="2" max="2" width="46.5703125" style="7" bestFit="1" customWidth="1"/>
    <col min="3" max="3" width="18.7109375" style="7" customWidth="1"/>
    <col min="4" max="4" width="19.42578125" style="7" customWidth="1"/>
    <col min="5" max="5" width="17.7109375" style="7" customWidth="1"/>
    <col min="6" max="6" width="19" style="7" customWidth="1"/>
    <col min="7" max="8" width="9.140625" style="807"/>
    <col min="9" max="256" width="9.140625" style="7"/>
    <col min="257" max="257" width="3.28515625" style="7" bestFit="1" customWidth="1"/>
    <col min="258" max="258" width="46.5703125" style="7" bestFit="1" customWidth="1"/>
    <col min="259" max="259" width="18.7109375" style="7" customWidth="1"/>
    <col min="260" max="260" width="19.42578125" style="7" customWidth="1"/>
    <col min="261" max="261" width="17.7109375" style="7" customWidth="1"/>
    <col min="262" max="262" width="19" style="7" customWidth="1"/>
    <col min="263" max="512" width="9.140625" style="7"/>
    <col min="513" max="513" width="3.28515625" style="7" bestFit="1" customWidth="1"/>
    <col min="514" max="514" width="46.5703125" style="7" bestFit="1" customWidth="1"/>
    <col min="515" max="515" width="18.7109375" style="7" customWidth="1"/>
    <col min="516" max="516" width="19.42578125" style="7" customWidth="1"/>
    <col min="517" max="517" width="17.7109375" style="7" customWidth="1"/>
    <col min="518" max="518" width="19" style="7" customWidth="1"/>
    <col min="519" max="768" width="9.140625" style="7"/>
    <col min="769" max="769" width="3.28515625" style="7" bestFit="1" customWidth="1"/>
    <col min="770" max="770" width="46.5703125" style="7" bestFit="1" customWidth="1"/>
    <col min="771" max="771" width="18.7109375" style="7" customWidth="1"/>
    <col min="772" max="772" width="19.42578125" style="7" customWidth="1"/>
    <col min="773" max="773" width="17.7109375" style="7" customWidth="1"/>
    <col min="774" max="774" width="19" style="7" customWidth="1"/>
    <col min="775" max="1024" width="9.140625" style="7"/>
    <col min="1025" max="1025" width="3.28515625" style="7" bestFit="1" customWidth="1"/>
    <col min="1026" max="1026" width="46.5703125" style="7" bestFit="1" customWidth="1"/>
    <col min="1027" max="1027" width="18.7109375" style="7" customWidth="1"/>
    <col min="1028" max="1028" width="19.42578125" style="7" customWidth="1"/>
    <col min="1029" max="1029" width="17.7109375" style="7" customWidth="1"/>
    <col min="1030" max="1030" width="19" style="7" customWidth="1"/>
    <col min="1031" max="1280" width="9.140625" style="7"/>
    <col min="1281" max="1281" width="3.28515625" style="7" bestFit="1" customWidth="1"/>
    <col min="1282" max="1282" width="46.5703125" style="7" bestFit="1" customWidth="1"/>
    <col min="1283" max="1283" width="18.7109375" style="7" customWidth="1"/>
    <col min="1284" max="1284" width="19.42578125" style="7" customWidth="1"/>
    <col min="1285" max="1285" width="17.7109375" style="7" customWidth="1"/>
    <col min="1286" max="1286" width="19" style="7" customWidth="1"/>
    <col min="1287" max="1536" width="9.140625" style="7"/>
    <col min="1537" max="1537" width="3.28515625" style="7" bestFit="1" customWidth="1"/>
    <col min="1538" max="1538" width="46.5703125" style="7" bestFit="1" customWidth="1"/>
    <col min="1539" max="1539" width="18.7109375" style="7" customWidth="1"/>
    <col min="1540" max="1540" width="19.42578125" style="7" customWidth="1"/>
    <col min="1541" max="1541" width="17.7109375" style="7" customWidth="1"/>
    <col min="1542" max="1542" width="19" style="7" customWidth="1"/>
    <col min="1543" max="1792" width="9.140625" style="7"/>
    <col min="1793" max="1793" width="3.28515625" style="7" bestFit="1" customWidth="1"/>
    <col min="1794" max="1794" width="46.5703125" style="7" bestFit="1" customWidth="1"/>
    <col min="1795" max="1795" width="18.7109375" style="7" customWidth="1"/>
    <col min="1796" max="1796" width="19.42578125" style="7" customWidth="1"/>
    <col min="1797" max="1797" width="17.7109375" style="7" customWidth="1"/>
    <col min="1798" max="1798" width="19" style="7" customWidth="1"/>
    <col min="1799" max="2048" width="9.140625" style="7"/>
    <col min="2049" max="2049" width="3.28515625" style="7" bestFit="1" customWidth="1"/>
    <col min="2050" max="2050" width="46.5703125" style="7" bestFit="1" customWidth="1"/>
    <col min="2051" max="2051" width="18.7109375" style="7" customWidth="1"/>
    <col min="2052" max="2052" width="19.42578125" style="7" customWidth="1"/>
    <col min="2053" max="2053" width="17.7109375" style="7" customWidth="1"/>
    <col min="2054" max="2054" width="19" style="7" customWidth="1"/>
    <col min="2055" max="2304" width="9.140625" style="7"/>
    <col min="2305" max="2305" width="3.28515625" style="7" bestFit="1" customWidth="1"/>
    <col min="2306" max="2306" width="46.5703125" style="7" bestFit="1" customWidth="1"/>
    <col min="2307" max="2307" width="18.7109375" style="7" customWidth="1"/>
    <col min="2308" max="2308" width="19.42578125" style="7" customWidth="1"/>
    <col min="2309" max="2309" width="17.7109375" style="7" customWidth="1"/>
    <col min="2310" max="2310" width="19" style="7" customWidth="1"/>
    <col min="2311" max="2560" width="9.140625" style="7"/>
    <col min="2561" max="2561" width="3.28515625" style="7" bestFit="1" customWidth="1"/>
    <col min="2562" max="2562" width="46.5703125" style="7" bestFit="1" customWidth="1"/>
    <col min="2563" max="2563" width="18.7109375" style="7" customWidth="1"/>
    <col min="2564" max="2564" width="19.42578125" style="7" customWidth="1"/>
    <col min="2565" max="2565" width="17.7109375" style="7" customWidth="1"/>
    <col min="2566" max="2566" width="19" style="7" customWidth="1"/>
    <col min="2567" max="2816" width="9.140625" style="7"/>
    <col min="2817" max="2817" width="3.28515625" style="7" bestFit="1" customWidth="1"/>
    <col min="2818" max="2818" width="46.5703125" style="7" bestFit="1" customWidth="1"/>
    <col min="2819" max="2819" width="18.7109375" style="7" customWidth="1"/>
    <col min="2820" max="2820" width="19.42578125" style="7" customWidth="1"/>
    <col min="2821" max="2821" width="17.7109375" style="7" customWidth="1"/>
    <col min="2822" max="2822" width="19" style="7" customWidth="1"/>
    <col min="2823" max="3072" width="9.140625" style="7"/>
    <col min="3073" max="3073" width="3.28515625" style="7" bestFit="1" customWidth="1"/>
    <col min="3074" max="3074" width="46.5703125" style="7" bestFit="1" customWidth="1"/>
    <col min="3075" max="3075" width="18.7109375" style="7" customWidth="1"/>
    <col min="3076" max="3076" width="19.42578125" style="7" customWidth="1"/>
    <col min="3077" max="3077" width="17.7109375" style="7" customWidth="1"/>
    <col min="3078" max="3078" width="19" style="7" customWidth="1"/>
    <col min="3079" max="3328" width="9.140625" style="7"/>
    <col min="3329" max="3329" width="3.28515625" style="7" bestFit="1" customWidth="1"/>
    <col min="3330" max="3330" width="46.5703125" style="7" bestFit="1" customWidth="1"/>
    <col min="3331" max="3331" width="18.7109375" style="7" customWidth="1"/>
    <col min="3332" max="3332" width="19.42578125" style="7" customWidth="1"/>
    <col min="3333" max="3333" width="17.7109375" style="7" customWidth="1"/>
    <col min="3334" max="3334" width="19" style="7" customWidth="1"/>
    <col min="3335" max="3584" width="9.140625" style="7"/>
    <col min="3585" max="3585" width="3.28515625" style="7" bestFit="1" customWidth="1"/>
    <col min="3586" max="3586" width="46.5703125" style="7" bestFit="1" customWidth="1"/>
    <col min="3587" max="3587" width="18.7109375" style="7" customWidth="1"/>
    <col min="3588" max="3588" width="19.42578125" style="7" customWidth="1"/>
    <col min="3589" max="3589" width="17.7109375" style="7" customWidth="1"/>
    <col min="3590" max="3590" width="19" style="7" customWidth="1"/>
    <col min="3591" max="3840" width="9.140625" style="7"/>
    <col min="3841" max="3841" width="3.28515625" style="7" bestFit="1" customWidth="1"/>
    <col min="3842" max="3842" width="46.5703125" style="7" bestFit="1" customWidth="1"/>
    <col min="3843" max="3843" width="18.7109375" style="7" customWidth="1"/>
    <col min="3844" max="3844" width="19.42578125" style="7" customWidth="1"/>
    <col min="3845" max="3845" width="17.7109375" style="7" customWidth="1"/>
    <col min="3846" max="3846" width="19" style="7" customWidth="1"/>
    <col min="3847" max="4096" width="9.140625" style="7"/>
    <col min="4097" max="4097" width="3.28515625" style="7" bestFit="1" customWidth="1"/>
    <col min="4098" max="4098" width="46.5703125" style="7" bestFit="1" customWidth="1"/>
    <col min="4099" max="4099" width="18.7109375" style="7" customWidth="1"/>
    <col min="4100" max="4100" width="19.42578125" style="7" customWidth="1"/>
    <col min="4101" max="4101" width="17.7109375" style="7" customWidth="1"/>
    <col min="4102" max="4102" width="19" style="7" customWidth="1"/>
    <col min="4103" max="4352" width="9.140625" style="7"/>
    <col min="4353" max="4353" width="3.28515625" style="7" bestFit="1" customWidth="1"/>
    <col min="4354" max="4354" width="46.5703125" style="7" bestFit="1" customWidth="1"/>
    <col min="4355" max="4355" width="18.7109375" style="7" customWidth="1"/>
    <col min="4356" max="4356" width="19.42578125" style="7" customWidth="1"/>
    <col min="4357" max="4357" width="17.7109375" style="7" customWidth="1"/>
    <col min="4358" max="4358" width="19" style="7" customWidth="1"/>
    <col min="4359" max="4608" width="9.140625" style="7"/>
    <col min="4609" max="4609" width="3.28515625" style="7" bestFit="1" customWidth="1"/>
    <col min="4610" max="4610" width="46.5703125" style="7" bestFit="1" customWidth="1"/>
    <col min="4611" max="4611" width="18.7109375" style="7" customWidth="1"/>
    <col min="4612" max="4612" width="19.42578125" style="7" customWidth="1"/>
    <col min="4613" max="4613" width="17.7109375" style="7" customWidth="1"/>
    <col min="4614" max="4614" width="19" style="7" customWidth="1"/>
    <col min="4615" max="4864" width="9.140625" style="7"/>
    <col min="4865" max="4865" width="3.28515625" style="7" bestFit="1" customWidth="1"/>
    <col min="4866" max="4866" width="46.5703125" style="7" bestFit="1" customWidth="1"/>
    <col min="4867" max="4867" width="18.7109375" style="7" customWidth="1"/>
    <col min="4868" max="4868" width="19.42578125" style="7" customWidth="1"/>
    <col min="4869" max="4869" width="17.7109375" style="7" customWidth="1"/>
    <col min="4870" max="4870" width="19" style="7" customWidth="1"/>
    <col min="4871" max="5120" width="9.140625" style="7"/>
    <col min="5121" max="5121" width="3.28515625" style="7" bestFit="1" customWidth="1"/>
    <col min="5122" max="5122" width="46.5703125" style="7" bestFit="1" customWidth="1"/>
    <col min="5123" max="5123" width="18.7109375" style="7" customWidth="1"/>
    <col min="5124" max="5124" width="19.42578125" style="7" customWidth="1"/>
    <col min="5125" max="5125" width="17.7109375" style="7" customWidth="1"/>
    <col min="5126" max="5126" width="19" style="7" customWidth="1"/>
    <col min="5127" max="5376" width="9.140625" style="7"/>
    <col min="5377" max="5377" width="3.28515625" style="7" bestFit="1" customWidth="1"/>
    <col min="5378" max="5378" width="46.5703125" style="7" bestFit="1" customWidth="1"/>
    <col min="5379" max="5379" width="18.7109375" style="7" customWidth="1"/>
    <col min="5380" max="5380" width="19.42578125" style="7" customWidth="1"/>
    <col min="5381" max="5381" width="17.7109375" style="7" customWidth="1"/>
    <col min="5382" max="5382" width="19" style="7" customWidth="1"/>
    <col min="5383" max="5632" width="9.140625" style="7"/>
    <col min="5633" max="5633" width="3.28515625" style="7" bestFit="1" customWidth="1"/>
    <col min="5634" max="5634" width="46.5703125" style="7" bestFit="1" customWidth="1"/>
    <col min="5635" max="5635" width="18.7109375" style="7" customWidth="1"/>
    <col min="5636" max="5636" width="19.42578125" style="7" customWidth="1"/>
    <col min="5637" max="5637" width="17.7109375" style="7" customWidth="1"/>
    <col min="5638" max="5638" width="19" style="7" customWidth="1"/>
    <col min="5639" max="5888" width="9.140625" style="7"/>
    <col min="5889" max="5889" width="3.28515625" style="7" bestFit="1" customWidth="1"/>
    <col min="5890" max="5890" width="46.5703125" style="7" bestFit="1" customWidth="1"/>
    <col min="5891" max="5891" width="18.7109375" style="7" customWidth="1"/>
    <col min="5892" max="5892" width="19.42578125" style="7" customWidth="1"/>
    <col min="5893" max="5893" width="17.7109375" style="7" customWidth="1"/>
    <col min="5894" max="5894" width="19" style="7" customWidth="1"/>
    <col min="5895" max="6144" width="9.140625" style="7"/>
    <col min="6145" max="6145" width="3.28515625" style="7" bestFit="1" customWidth="1"/>
    <col min="6146" max="6146" width="46.5703125" style="7" bestFit="1" customWidth="1"/>
    <col min="6147" max="6147" width="18.7109375" style="7" customWidth="1"/>
    <col min="6148" max="6148" width="19.42578125" style="7" customWidth="1"/>
    <col min="6149" max="6149" width="17.7109375" style="7" customWidth="1"/>
    <col min="6150" max="6150" width="19" style="7" customWidth="1"/>
    <col min="6151" max="6400" width="9.140625" style="7"/>
    <col min="6401" max="6401" width="3.28515625" style="7" bestFit="1" customWidth="1"/>
    <col min="6402" max="6402" width="46.5703125" style="7" bestFit="1" customWidth="1"/>
    <col min="6403" max="6403" width="18.7109375" style="7" customWidth="1"/>
    <col min="6404" max="6404" width="19.42578125" style="7" customWidth="1"/>
    <col min="6405" max="6405" width="17.7109375" style="7" customWidth="1"/>
    <col min="6406" max="6406" width="19" style="7" customWidth="1"/>
    <col min="6407" max="6656" width="9.140625" style="7"/>
    <col min="6657" max="6657" width="3.28515625" style="7" bestFit="1" customWidth="1"/>
    <col min="6658" max="6658" width="46.5703125" style="7" bestFit="1" customWidth="1"/>
    <col min="6659" max="6659" width="18.7109375" style="7" customWidth="1"/>
    <col min="6660" max="6660" width="19.42578125" style="7" customWidth="1"/>
    <col min="6661" max="6661" width="17.7109375" style="7" customWidth="1"/>
    <col min="6662" max="6662" width="19" style="7" customWidth="1"/>
    <col min="6663" max="6912" width="9.140625" style="7"/>
    <col min="6913" max="6913" width="3.28515625" style="7" bestFit="1" customWidth="1"/>
    <col min="6914" max="6914" width="46.5703125" style="7" bestFit="1" customWidth="1"/>
    <col min="6915" max="6915" width="18.7109375" style="7" customWidth="1"/>
    <col min="6916" max="6916" width="19.42578125" style="7" customWidth="1"/>
    <col min="6917" max="6917" width="17.7109375" style="7" customWidth="1"/>
    <col min="6918" max="6918" width="19" style="7" customWidth="1"/>
    <col min="6919" max="7168" width="9.140625" style="7"/>
    <col min="7169" max="7169" width="3.28515625" style="7" bestFit="1" customWidth="1"/>
    <col min="7170" max="7170" width="46.5703125" style="7" bestFit="1" customWidth="1"/>
    <col min="7171" max="7171" width="18.7109375" style="7" customWidth="1"/>
    <col min="7172" max="7172" width="19.42578125" style="7" customWidth="1"/>
    <col min="7173" max="7173" width="17.7109375" style="7" customWidth="1"/>
    <col min="7174" max="7174" width="19" style="7" customWidth="1"/>
    <col min="7175" max="7424" width="9.140625" style="7"/>
    <col min="7425" max="7425" width="3.28515625" style="7" bestFit="1" customWidth="1"/>
    <col min="7426" max="7426" width="46.5703125" style="7" bestFit="1" customWidth="1"/>
    <col min="7427" max="7427" width="18.7109375" style="7" customWidth="1"/>
    <col min="7428" max="7428" width="19.42578125" style="7" customWidth="1"/>
    <col min="7429" max="7429" width="17.7109375" style="7" customWidth="1"/>
    <col min="7430" max="7430" width="19" style="7" customWidth="1"/>
    <col min="7431" max="7680" width="9.140625" style="7"/>
    <col min="7681" max="7681" width="3.28515625" style="7" bestFit="1" customWidth="1"/>
    <col min="7682" max="7682" width="46.5703125" style="7" bestFit="1" customWidth="1"/>
    <col min="7683" max="7683" width="18.7109375" style="7" customWidth="1"/>
    <col min="7684" max="7684" width="19.42578125" style="7" customWidth="1"/>
    <col min="7685" max="7685" width="17.7109375" style="7" customWidth="1"/>
    <col min="7686" max="7686" width="19" style="7" customWidth="1"/>
    <col min="7687" max="7936" width="9.140625" style="7"/>
    <col min="7937" max="7937" width="3.28515625" style="7" bestFit="1" customWidth="1"/>
    <col min="7938" max="7938" width="46.5703125" style="7" bestFit="1" customWidth="1"/>
    <col min="7939" max="7939" width="18.7109375" style="7" customWidth="1"/>
    <col min="7940" max="7940" width="19.42578125" style="7" customWidth="1"/>
    <col min="7941" max="7941" width="17.7109375" style="7" customWidth="1"/>
    <col min="7942" max="7942" width="19" style="7" customWidth="1"/>
    <col min="7943" max="8192" width="9.140625" style="7"/>
    <col min="8193" max="8193" width="3.28515625" style="7" bestFit="1" customWidth="1"/>
    <col min="8194" max="8194" width="46.5703125" style="7" bestFit="1" customWidth="1"/>
    <col min="8195" max="8195" width="18.7109375" style="7" customWidth="1"/>
    <col min="8196" max="8196" width="19.42578125" style="7" customWidth="1"/>
    <col min="8197" max="8197" width="17.7109375" style="7" customWidth="1"/>
    <col min="8198" max="8198" width="19" style="7" customWidth="1"/>
    <col min="8199" max="8448" width="9.140625" style="7"/>
    <col min="8449" max="8449" width="3.28515625" style="7" bestFit="1" customWidth="1"/>
    <col min="8450" max="8450" width="46.5703125" style="7" bestFit="1" customWidth="1"/>
    <col min="8451" max="8451" width="18.7109375" style="7" customWidth="1"/>
    <col min="8452" max="8452" width="19.42578125" style="7" customWidth="1"/>
    <col min="8453" max="8453" width="17.7109375" style="7" customWidth="1"/>
    <col min="8454" max="8454" width="19" style="7" customWidth="1"/>
    <col min="8455" max="8704" width="9.140625" style="7"/>
    <col min="8705" max="8705" width="3.28515625" style="7" bestFit="1" customWidth="1"/>
    <col min="8706" max="8706" width="46.5703125" style="7" bestFit="1" customWidth="1"/>
    <col min="8707" max="8707" width="18.7109375" style="7" customWidth="1"/>
    <col min="8708" max="8708" width="19.42578125" style="7" customWidth="1"/>
    <col min="8709" max="8709" width="17.7109375" style="7" customWidth="1"/>
    <col min="8710" max="8710" width="19" style="7" customWidth="1"/>
    <col min="8711" max="8960" width="9.140625" style="7"/>
    <col min="8961" max="8961" width="3.28515625" style="7" bestFit="1" customWidth="1"/>
    <col min="8962" max="8962" width="46.5703125" style="7" bestFit="1" customWidth="1"/>
    <col min="8963" max="8963" width="18.7109375" style="7" customWidth="1"/>
    <col min="8964" max="8964" width="19.42578125" style="7" customWidth="1"/>
    <col min="8965" max="8965" width="17.7109375" style="7" customWidth="1"/>
    <col min="8966" max="8966" width="19" style="7" customWidth="1"/>
    <col min="8967" max="9216" width="9.140625" style="7"/>
    <col min="9217" max="9217" width="3.28515625" style="7" bestFit="1" customWidth="1"/>
    <col min="9218" max="9218" width="46.5703125" style="7" bestFit="1" customWidth="1"/>
    <col min="9219" max="9219" width="18.7109375" style="7" customWidth="1"/>
    <col min="9220" max="9220" width="19.42578125" style="7" customWidth="1"/>
    <col min="9221" max="9221" width="17.7109375" style="7" customWidth="1"/>
    <col min="9222" max="9222" width="19" style="7" customWidth="1"/>
    <col min="9223" max="9472" width="9.140625" style="7"/>
    <col min="9473" max="9473" width="3.28515625" style="7" bestFit="1" customWidth="1"/>
    <col min="9474" max="9474" width="46.5703125" style="7" bestFit="1" customWidth="1"/>
    <col min="9475" max="9475" width="18.7109375" style="7" customWidth="1"/>
    <col min="9476" max="9476" width="19.42578125" style="7" customWidth="1"/>
    <col min="9477" max="9477" width="17.7109375" style="7" customWidth="1"/>
    <col min="9478" max="9478" width="19" style="7" customWidth="1"/>
    <col min="9479" max="9728" width="9.140625" style="7"/>
    <col min="9729" max="9729" width="3.28515625" style="7" bestFit="1" customWidth="1"/>
    <col min="9730" max="9730" width="46.5703125" style="7" bestFit="1" customWidth="1"/>
    <col min="9731" max="9731" width="18.7109375" style="7" customWidth="1"/>
    <col min="9732" max="9732" width="19.42578125" style="7" customWidth="1"/>
    <col min="9733" max="9733" width="17.7109375" style="7" customWidth="1"/>
    <col min="9734" max="9734" width="19" style="7" customWidth="1"/>
    <col min="9735" max="9984" width="9.140625" style="7"/>
    <col min="9985" max="9985" width="3.28515625" style="7" bestFit="1" customWidth="1"/>
    <col min="9986" max="9986" width="46.5703125" style="7" bestFit="1" customWidth="1"/>
    <col min="9987" max="9987" width="18.7109375" style="7" customWidth="1"/>
    <col min="9988" max="9988" width="19.42578125" style="7" customWidth="1"/>
    <col min="9989" max="9989" width="17.7109375" style="7" customWidth="1"/>
    <col min="9990" max="9990" width="19" style="7" customWidth="1"/>
    <col min="9991" max="10240" width="9.140625" style="7"/>
    <col min="10241" max="10241" width="3.28515625" style="7" bestFit="1" customWidth="1"/>
    <col min="10242" max="10242" width="46.5703125" style="7" bestFit="1" customWidth="1"/>
    <col min="10243" max="10243" width="18.7109375" style="7" customWidth="1"/>
    <col min="10244" max="10244" width="19.42578125" style="7" customWidth="1"/>
    <col min="10245" max="10245" width="17.7109375" style="7" customWidth="1"/>
    <col min="10246" max="10246" width="19" style="7" customWidth="1"/>
    <col min="10247" max="10496" width="9.140625" style="7"/>
    <col min="10497" max="10497" width="3.28515625" style="7" bestFit="1" customWidth="1"/>
    <col min="10498" max="10498" width="46.5703125" style="7" bestFit="1" customWidth="1"/>
    <col min="10499" max="10499" width="18.7109375" style="7" customWidth="1"/>
    <col min="10500" max="10500" width="19.42578125" style="7" customWidth="1"/>
    <col min="10501" max="10501" width="17.7109375" style="7" customWidth="1"/>
    <col min="10502" max="10502" width="19" style="7" customWidth="1"/>
    <col min="10503" max="10752" width="9.140625" style="7"/>
    <col min="10753" max="10753" width="3.28515625" style="7" bestFit="1" customWidth="1"/>
    <col min="10754" max="10754" width="46.5703125" style="7" bestFit="1" customWidth="1"/>
    <col min="10755" max="10755" width="18.7109375" style="7" customWidth="1"/>
    <col min="10756" max="10756" width="19.42578125" style="7" customWidth="1"/>
    <col min="10757" max="10757" width="17.7109375" style="7" customWidth="1"/>
    <col min="10758" max="10758" width="19" style="7" customWidth="1"/>
    <col min="10759" max="11008" width="9.140625" style="7"/>
    <col min="11009" max="11009" width="3.28515625" style="7" bestFit="1" customWidth="1"/>
    <col min="11010" max="11010" width="46.5703125" style="7" bestFit="1" customWidth="1"/>
    <col min="11011" max="11011" width="18.7109375" style="7" customWidth="1"/>
    <col min="11012" max="11012" width="19.42578125" style="7" customWidth="1"/>
    <col min="11013" max="11013" width="17.7109375" style="7" customWidth="1"/>
    <col min="11014" max="11014" width="19" style="7" customWidth="1"/>
    <col min="11015" max="11264" width="9.140625" style="7"/>
    <col min="11265" max="11265" width="3.28515625" style="7" bestFit="1" customWidth="1"/>
    <col min="11266" max="11266" width="46.5703125" style="7" bestFit="1" customWidth="1"/>
    <col min="11267" max="11267" width="18.7109375" style="7" customWidth="1"/>
    <col min="11268" max="11268" width="19.42578125" style="7" customWidth="1"/>
    <col min="11269" max="11269" width="17.7109375" style="7" customWidth="1"/>
    <col min="11270" max="11270" width="19" style="7" customWidth="1"/>
    <col min="11271" max="11520" width="9.140625" style="7"/>
    <col min="11521" max="11521" width="3.28515625" style="7" bestFit="1" customWidth="1"/>
    <col min="11522" max="11522" width="46.5703125" style="7" bestFit="1" customWidth="1"/>
    <col min="11523" max="11523" width="18.7109375" style="7" customWidth="1"/>
    <col min="11524" max="11524" width="19.42578125" style="7" customWidth="1"/>
    <col min="11525" max="11525" width="17.7109375" style="7" customWidth="1"/>
    <col min="11526" max="11526" width="19" style="7" customWidth="1"/>
    <col min="11527" max="11776" width="9.140625" style="7"/>
    <col min="11777" max="11777" width="3.28515625" style="7" bestFit="1" customWidth="1"/>
    <col min="11778" max="11778" width="46.5703125" style="7" bestFit="1" customWidth="1"/>
    <col min="11779" max="11779" width="18.7109375" style="7" customWidth="1"/>
    <col min="11780" max="11780" width="19.42578125" style="7" customWidth="1"/>
    <col min="11781" max="11781" width="17.7109375" style="7" customWidth="1"/>
    <col min="11782" max="11782" width="19" style="7" customWidth="1"/>
    <col min="11783" max="12032" width="9.140625" style="7"/>
    <col min="12033" max="12033" width="3.28515625" style="7" bestFit="1" customWidth="1"/>
    <col min="12034" max="12034" width="46.5703125" style="7" bestFit="1" customWidth="1"/>
    <col min="12035" max="12035" width="18.7109375" style="7" customWidth="1"/>
    <col min="12036" max="12036" width="19.42578125" style="7" customWidth="1"/>
    <col min="12037" max="12037" width="17.7109375" style="7" customWidth="1"/>
    <col min="12038" max="12038" width="19" style="7" customWidth="1"/>
    <col min="12039" max="12288" width="9.140625" style="7"/>
    <col min="12289" max="12289" width="3.28515625" style="7" bestFit="1" customWidth="1"/>
    <col min="12290" max="12290" width="46.5703125" style="7" bestFit="1" customWidth="1"/>
    <col min="12291" max="12291" width="18.7109375" style="7" customWidth="1"/>
    <col min="12292" max="12292" width="19.42578125" style="7" customWidth="1"/>
    <col min="12293" max="12293" width="17.7109375" style="7" customWidth="1"/>
    <col min="12294" max="12294" width="19" style="7" customWidth="1"/>
    <col min="12295" max="12544" width="9.140625" style="7"/>
    <col min="12545" max="12545" width="3.28515625" style="7" bestFit="1" customWidth="1"/>
    <col min="12546" max="12546" width="46.5703125" style="7" bestFit="1" customWidth="1"/>
    <col min="12547" max="12547" width="18.7109375" style="7" customWidth="1"/>
    <col min="12548" max="12548" width="19.42578125" style="7" customWidth="1"/>
    <col min="12549" max="12549" width="17.7109375" style="7" customWidth="1"/>
    <col min="12550" max="12550" width="19" style="7" customWidth="1"/>
    <col min="12551" max="12800" width="9.140625" style="7"/>
    <col min="12801" max="12801" width="3.28515625" style="7" bestFit="1" customWidth="1"/>
    <col min="12802" max="12802" width="46.5703125" style="7" bestFit="1" customWidth="1"/>
    <col min="12803" max="12803" width="18.7109375" style="7" customWidth="1"/>
    <col min="12804" max="12804" width="19.42578125" style="7" customWidth="1"/>
    <col min="12805" max="12805" width="17.7109375" style="7" customWidth="1"/>
    <col min="12806" max="12806" width="19" style="7" customWidth="1"/>
    <col min="12807" max="13056" width="9.140625" style="7"/>
    <col min="13057" max="13057" width="3.28515625" style="7" bestFit="1" customWidth="1"/>
    <col min="13058" max="13058" width="46.5703125" style="7" bestFit="1" customWidth="1"/>
    <col min="13059" max="13059" width="18.7109375" style="7" customWidth="1"/>
    <col min="13060" max="13060" width="19.42578125" style="7" customWidth="1"/>
    <col min="13061" max="13061" width="17.7109375" style="7" customWidth="1"/>
    <col min="13062" max="13062" width="19" style="7" customWidth="1"/>
    <col min="13063" max="13312" width="9.140625" style="7"/>
    <col min="13313" max="13313" width="3.28515625" style="7" bestFit="1" customWidth="1"/>
    <col min="13314" max="13314" width="46.5703125" style="7" bestFit="1" customWidth="1"/>
    <col min="13315" max="13315" width="18.7109375" style="7" customWidth="1"/>
    <col min="13316" max="13316" width="19.42578125" style="7" customWidth="1"/>
    <col min="13317" max="13317" width="17.7109375" style="7" customWidth="1"/>
    <col min="13318" max="13318" width="19" style="7" customWidth="1"/>
    <col min="13319" max="13568" width="9.140625" style="7"/>
    <col min="13569" max="13569" width="3.28515625" style="7" bestFit="1" customWidth="1"/>
    <col min="13570" max="13570" width="46.5703125" style="7" bestFit="1" customWidth="1"/>
    <col min="13571" max="13571" width="18.7109375" style="7" customWidth="1"/>
    <col min="13572" max="13572" width="19.42578125" style="7" customWidth="1"/>
    <col min="13573" max="13573" width="17.7109375" style="7" customWidth="1"/>
    <col min="13574" max="13574" width="19" style="7" customWidth="1"/>
    <col min="13575" max="13824" width="9.140625" style="7"/>
    <col min="13825" max="13825" width="3.28515625" style="7" bestFit="1" customWidth="1"/>
    <col min="13826" max="13826" width="46.5703125" style="7" bestFit="1" customWidth="1"/>
    <col min="13827" max="13827" width="18.7109375" style="7" customWidth="1"/>
    <col min="13828" max="13828" width="19.42578125" style="7" customWidth="1"/>
    <col min="13829" max="13829" width="17.7109375" style="7" customWidth="1"/>
    <col min="13830" max="13830" width="19" style="7" customWidth="1"/>
    <col min="13831" max="14080" width="9.140625" style="7"/>
    <col min="14081" max="14081" width="3.28515625" style="7" bestFit="1" customWidth="1"/>
    <col min="14082" max="14082" width="46.5703125" style="7" bestFit="1" customWidth="1"/>
    <col min="14083" max="14083" width="18.7109375" style="7" customWidth="1"/>
    <col min="14084" max="14084" width="19.42578125" style="7" customWidth="1"/>
    <col min="14085" max="14085" width="17.7109375" style="7" customWidth="1"/>
    <col min="14086" max="14086" width="19" style="7" customWidth="1"/>
    <col min="14087" max="14336" width="9.140625" style="7"/>
    <col min="14337" max="14337" width="3.28515625" style="7" bestFit="1" customWidth="1"/>
    <col min="14338" max="14338" width="46.5703125" style="7" bestFit="1" customWidth="1"/>
    <col min="14339" max="14339" width="18.7109375" style="7" customWidth="1"/>
    <col min="14340" max="14340" width="19.42578125" style="7" customWidth="1"/>
    <col min="14341" max="14341" width="17.7109375" style="7" customWidth="1"/>
    <col min="14342" max="14342" width="19" style="7" customWidth="1"/>
    <col min="14343" max="14592" width="9.140625" style="7"/>
    <col min="14593" max="14593" width="3.28515625" style="7" bestFit="1" customWidth="1"/>
    <col min="14594" max="14594" width="46.5703125" style="7" bestFit="1" customWidth="1"/>
    <col min="14595" max="14595" width="18.7109375" style="7" customWidth="1"/>
    <col min="14596" max="14596" width="19.42578125" style="7" customWidth="1"/>
    <col min="14597" max="14597" width="17.7109375" style="7" customWidth="1"/>
    <col min="14598" max="14598" width="19" style="7" customWidth="1"/>
    <col min="14599" max="14848" width="9.140625" style="7"/>
    <col min="14849" max="14849" width="3.28515625" style="7" bestFit="1" customWidth="1"/>
    <col min="14850" max="14850" width="46.5703125" style="7" bestFit="1" customWidth="1"/>
    <col min="14851" max="14851" width="18.7109375" style="7" customWidth="1"/>
    <col min="14852" max="14852" width="19.42578125" style="7" customWidth="1"/>
    <col min="14853" max="14853" width="17.7109375" style="7" customWidth="1"/>
    <col min="14854" max="14854" width="19" style="7" customWidth="1"/>
    <col min="14855" max="15104" width="9.140625" style="7"/>
    <col min="15105" max="15105" width="3.28515625" style="7" bestFit="1" customWidth="1"/>
    <col min="15106" max="15106" width="46.5703125" style="7" bestFit="1" customWidth="1"/>
    <col min="15107" max="15107" width="18.7109375" style="7" customWidth="1"/>
    <col min="15108" max="15108" width="19.42578125" style="7" customWidth="1"/>
    <col min="15109" max="15109" width="17.7109375" style="7" customWidth="1"/>
    <col min="15110" max="15110" width="19" style="7" customWidth="1"/>
    <col min="15111" max="15360" width="9.140625" style="7"/>
    <col min="15361" max="15361" width="3.28515625" style="7" bestFit="1" customWidth="1"/>
    <col min="15362" max="15362" width="46.5703125" style="7" bestFit="1" customWidth="1"/>
    <col min="15363" max="15363" width="18.7109375" style="7" customWidth="1"/>
    <col min="15364" max="15364" width="19.42578125" style="7" customWidth="1"/>
    <col min="15365" max="15365" width="17.7109375" style="7" customWidth="1"/>
    <col min="15366" max="15366" width="19" style="7" customWidth="1"/>
    <col min="15367" max="15616" width="9.140625" style="7"/>
    <col min="15617" max="15617" width="3.28515625" style="7" bestFit="1" customWidth="1"/>
    <col min="15618" max="15618" width="46.5703125" style="7" bestFit="1" customWidth="1"/>
    <col min="15619" max="15619" width="18.7109375" style="7" customWidth="1"/>
    <col min="15620" max="15620" width="19.42578125" style="7" customWidth="1"/>
    <col min="15621" max="15621" width="17.7109375" style="7" customWidth="1"/>
    <col min="15622" max="15622" width="19" style="7" customWidth="1"/>
    <col min="15623" max="15872" width="9.140625" style="7"/>
    <col min="15873" max="15873" width="3.28515625" style="7" bestFit="1" customWidth="1"/>
    <col min="15874" max="15874" width="46.5703125" style="7" bestFit="1" customWidth="1"/>
    <col min="15875" max="15875" width="18.7109375" style="7" customWidth="1"/>
    <col min="15876" max="15876" width="19.42578125" style="7" customWidth="1"/>
    <col min="15877" max="15877" width="17.7109375" style="7" customWidth="1"/>
    <col min="15878" max="15878" width="19" style="7" customWidth="1"/>
    <col min="15879" max="16128" width="9.140625" style="7"/>
    <col min="16129" max="16129" width="3.28515625" style="7" bestFit="1" customWidth="1"/>
    <col min="16130" max="16130" width="46.5703125" style="7" bestFit="1" customWidth="1"/>
    <col min="16131" max="16131" width="18.7109375" style="7" customWidth="1"/>
    <col min="16132" max="16132" width="19.42578125" style="7" customWidth="1"/>
    <col min="16133" max="16133" width="17.7109375" style="7" customWidth="1"/>
    <col min="16134" max="16134" width="19" style="7" customWidth="1"/>
    <col min="16135" max="16384" width="9.140625" style="7"/>
  </cols>
  <sheetData>
    <row r="1" spans="1:256" ht="30.75">
      <c r="A1" s="944" t="s">
        <v>224</v>
      </c>
      <c r="B1" s="944"/>
      <c r="C1" s="944"/>
      <c r="D1" s="944"/>
      <c r="E1" s="944"/>
      <c r="F1" s="944"/>
    </row>
    <row r="2" spans="1:256" ht="27.75">
      <c r="A2" s="945" t="s">
        <v>1553</v>
      </c>
      <c r="B2" s="945"/>
      <c r="C2" s="945"/>
      <c r="D2" s="945"/>
      <c r="E2" s="945"/>
      <c r="F2" s="945"/>
    </row>
    <row r="3" spans="1:256" ht="24">
      <c r="E3" s="950" t="s">
        <v>4</v>
      </c>
      <c r="F3" s="950"/>
    </row>
    <row r="4" spans="1:256" ht="24.95" customHeight="1">
      <c r="A4" s="947" t="s">
        <v>5</v>
      </c>
      <c r="B4" s="947"/>
      <c r="C4" s="3" t="s">
        <v>3</v>
      </c>
      <c r="D4" s="3" t="s">
        <v>2</v>
      </c>
      <c r="E4" s="3" t="s">
        <v>0</v>
      </c>
      <c r="F4" s="3" t="s">
        <v>1</v>
      </c>
      <c r="G4" s="808"/>
      <c r="H4" s="80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</row>
    <row r="5" spans="1:256" ht="24.95" customHeight="1">
      <c r="A5" s="809" t="s">
        <v>6</v>
      </c>
      <c r="B5" s="810" t="s">
        <v>7</v>
      </c>
      <c r="C5" s="811">
        <f>+[1]table1!B2+'[1]ตาราง 1'!C24+'[1]ตาราง 1'!C25+'[1]NEW GFMIS (2)'!E10231</f>
        <v>106161048.51000001</v>
      </c>
      <c r="D5" s="811">
        <f>+[1]table1!C2+'[1]NEW GFMIS (2)'!L10233</f>
        <v>46663039.589999996</v>
      </c>
      <c r="E5" s="811">
        <f>+[1]table1!D2+'[1]ตาราง 1'!C26</f>
        <v>11543393.614226945</v>
      </c>
      <c r="F5" s="812">
        <f>SUM(C5:E5)</f>
        <v>164367481.71422693</v>
      </c>
    </row>
    <row r="6" spans="1:256" ht="24.95" customHeight="1">
      <c r="A6" s="813" t="s">
        <v>8</v>
      </c>
      <c r="B6" s="814" t="s">
        <v>9</v>
      </c>
      <c r="C6" s="815">
        <f>+[1]table1!B3</f>
        <v>379938</v>
      </c>
      <c r="D6" s="815">
        <f>+[1]table1!C3</f>
        <v>9138886.2800000012</v>
      </c>
      <c r="E6" s="815">
        <f>+[1]table1!D3</f>
        <v>0</v>
      </c>
      <c r="F6" s="816">
        <f>SUM(C6:E6)</f>
        <v>9518824.2800000012</v>
      </c>
    </row>
    <row r="7" spans="1:256" ht="24.95" customHeight="1">
      <c r="A7" s="813" t="s">
        <v>10</v>
      </c>
      <c r="B7" s="814" t="s">
        <v>11</v>
      </c>
      <c r="C7" s="817">
        <f>+[1]table1!B4</f>
        <v>477822</v>
      </c>
      <c r="D7" s="817">
        <f>+[1]table1!C4</f>
        <v>461315.41</v>
      </c>
      <c r="E7" s="817">
        <f>+[1]table1!D4</f>
        <v>0</v>
      </c>
      <c r="F7" s="818">
        <f t="shared" ref="F7:F16" si="0">SUM(C7:E7)</f>
        <v>939137.40999999992</v>
      </c>
    </row>
    <row r="8" spans="1:256" ht="24.95" customHeight="1">
      <c r="A8" s="813" t="s">
        <v>12</v>
      </c>
      <c r="B8" s="814" t="s">
        <v>13</v>
      </c>
      <c r="C8" s="817">
        <f>+[1]รายงานต้นทุนตามแหล่งเงิน!H17</f>
        <v>2523295</v>
      </c>
      <c r="D8" s="817">
        <f>+[1]รายงานต้นทุนตามแหล่งเงิน!I17</f>
        <v>152598672.00000003</v>
      </c>
      <c r="E8" s="817">
        <f>+[1]รายงานต้นทุนตามแหล่งเงิน!J17</f>
        <v>0</v>
      </c>
      <c r="F8" s="818">
        <f t="shared" si="0"/>
        <v>155121967.00000003</v>
      </c>
    </row>
    <row r="9" spans="1:256" ht="24.95" customHeight="1">
      <c r="A9" s="813" t="s">
        <v>14</v>
      </c>
      <c r="B9" s="814" t="s">
        <v>15</v>
      </c>
      <c r="C9" s="819">
        <f>+[1]รายงานต้นทุนตามแหล่งเงิน!C22</f>
        <v>987283</v>
      </c>
      <c r="D9" s="819">
        <f>+[1]รายงานต้นทุนตามแหล่งเงิน!I22</f>
        <v>9410534.1899999995</v>
      </c>
      <c r="E9" s="819">
        <f>+[1]รายงานต้นทุนตามแหล่งเงิน!J22</f>
        <v>0</v>
      </c>
      <c r="F9" s="818">
        <f t="shared" si="0"/>
        <v>10397817.189999999</v>
      </c>
    </row>
    <row r="10" spans="1:256" ht="24.95" customHeight="1">
      <c r="A10" s="813" t="s">
        <v>16</v>
      </c>
      <c r="B10" s="814" t="s">
        <v>17</v>
      </c>
      <c r="C10" s="819">
        <f>+[1]รายงานต้นทุนตามแหล่งเงิน!C20</f>
        <v>33500</v>
      </c>
      <c r="D10" s="819">
        <f>+[1]รายงานต้นทุนตามแหล่งเงิน!D20</f>
        <v>34788754.299999997</v>
      </c>
      <c r="E10" s="819">
        <f>+[1]รายงานต้นทุนตามแหล่งเงิน!E20</f>
        <v>0</v>
      </c>
      <c r="F10" s="818">
        <f t="shared" si="0"/>
        <v>34822254.299999997</v>
      </c>
    </row>
    <row r="11" spans="1:256" ht="24.95" customHeight="1">
      <c r="A11" s="813" t="s">
        <v>18</v>
      </c>
      <c r="B11" s="814" t="s">
        <v>19</v>
      </c>
      <c r="C11" s="817">
        <f>+[1]table1!B6+[1]table1!B8</f>
        <v>41215571.81000001</v>
      </c>
      <c r="D11" s="817">
        <f>+[1]table1!C6+[1]table1!C8</f>
        <v>42732393.079999998</v>
      </c>
      <c r="E11" s="817">
        <f>+[1]table1!D6+[1]table1!D8</f>
        <v>105969.86000000002</v>
      </c>
      <c r="F11" s="818">
        <f t="shared" si="0"/>
        <v>84053934.750000015</v>
      </c>
    </row>
    <row r="12" spans="1:256" ht="24.95" customHeight="1">
      <c r="A12" s="813" t="s">
        <v>20</v>
      </c>
      <c r="B12" s="814" t="s">
        <v>21</v>
      </c>
      <c r="C12" s="817">
        <f>+[1]table1!B7</f>
        <v>0</v>
      </c>
      <c r="D12" s="817">
        <f>+[1]table1!C7</f>
        <v>966442</v>
      </c>
      <c r="E12" s="817">
        <f>+[1]table1!D7</f>
        <v>0</v>
      </c>
      <c r="F12" s="818">
        <f t="shared" si="0"/>
        <v>966442</v>
      </c>
    </row>
    <row r="13" spans="1:256" ht="24.95" customHeight="1">
      <c r="A13" s="813" t="s">
        <v>22</v>
      </c>
      <c r="B13" s="814" t="s">
        <v>23</v>
      </c>
      <c r="C13" s="819">
        <v>0</v>
      </c>
      <c r="D13" s="819">
        <v>0</v>
      </c>
      <c r="E13" s="819">
        <v>0</v>
      </c>
      <c r="F13" s="818">
        <f t="shared" si="0"/>
        <v>0</v>
      </c>
    </row>
    <row r="14" spans="1:256" ht="24.95" customHeight="1">
      <c r="A14" s="813" t="s">
        <v>24</v>
      </c>
      <c r="B14" s="814" t="s">
        <v>25</v>
      </c>
      <c r="C14" s="819">
        <v>0</v>
      </c>
      <c r="D14" s="819">
        <v>0</v>
      </c>
      <c r="E14" s="819">
        <v>0</v>
      </c>
      <c r="F14" s="818">
        <f t="shared" si="0"/>
        <v>0</v>
      </c>
    </row>
    <row r="15" spans="1:256" ht="24.95" customHeight="1">
      <c r="A15" s="813" t="s">
        <v>26</v>
      </c>
      <c r="B15" s="814" t="s">
        <v>27</v>
      </c>
      <c r="C15" s="819">
        <v>0</v>
      </c>
      <c r="D15" s="819">
        <v>0</v>
      </c>
      <c r="E15" s="819">
        <v>0</v>
      </c>
      <c r="F15" s="818">
        <f t="shared" si="0"/>
        <v>0</v>
      </c>
    </row>
    <row r="16" spans="1:256" ht="24.95" customHeight="1">
      <c r="A16" s="820" t="s">
        <v>28</v>
      </c>
      <c r="B16" s="821" t="s">
        <v>29</v>
      </c>
      <c r="C16" s="822">
        <f>+[1]table1!B9+[1]table1!B10</f>
        <v>1</v>
      </c>
      <c r="D16" s="822">
        <f>+[1]table1!C9+[1]table1!C10</f>
        <v>14281</v>
      </c>
      <c r="E16" s="822">
        <f>+[1]table1!D9+[1]table1!D10</f>
        <v>0</v>
      </c>
      <c r="F16" s="823">
        <f t="shared" si="0"/>
        <v>14282</v>
      </c>
    </row>
    <row r="17" spans="1:8" ht="24.95" customHeight="1" thickBot="1">
      <c r="A17" s="948" t="s">
        <v>30</v>
      </c>
      <c r="B17" s="948"/>
      <c r="C17" s="32">
        <f>SUM(C5:C16)</f>
        <v>151778459.32000002</v>
      </c>
      <c r="D17" s="32">
        <f>SUM(D5:D16)</f>
        <v>296774317.85000002</v>
      </c>
      <c r="E17" s="32">
        <f>SUM(E5:E16)</f>
        <v>11649363.474226944</v>
      </c>
      <c r="F17" s="33">
        <f>SUM(F5:F16)</f>
        <v>460202140.64422697</v>
      </c>
      <c r="G17" s="824"/>
      <c r="H17" s="824"/>
    </row>
    <row r="18" spans="1:8" ht="24.95" customHeight="1" thickTop="1">
      <c r="C18" s="825"/>
      <c r="D18" s="825"/>
      <c r="E18" s="825"/>
      <c r="F18" s="825"/>
      <c r="G18" s="824"/>
      <c r="H18" s="824"/>
    </row>
    <row r="19" spans="1:8" ht="24">
      <c r="A19" s="943" t="s">
        <v>1519</v>
      </c>
      <c r="B19" s="943"/>
      <c r="C19" s="943"/>
      <c r="D19" s="943"/>
      <c r="E19" s="943"/>
      <c r="F19" s="826"/>
      <c r="G19" s="7"/>
      <c r="H19" s="824"/>
    </row>
    <row r="20" spans="1:8" ht="24"/>
    <row r="21" spans="1:8" ht="24">
      <c r="B21" s="7" t="s">
        <v>1520</v>
      </c>
      <c r="C21" s="827"/>
      <c r="D21" s="827">
        <f>+'[1]NEW GFMIS'!E10624</f>
        <v>968239757.98000002</v>
      </c>
    </row>
    <row r="22" spans="1:8" ht="24">
      <c r="B22" s="7" t="s">
        <v>1475</v>
      </c>
      <c r="C22" s="827"/>
      <c r="D22" s="827"/>
    </row>
    <row r="23" spans="1:8" ht="24">
      <c r="B23" s="7" t="s">
        <v>187</v>
      </c>
      <c r="C23" s="827">
        <v>90008548.470000014</v>
      </c>
      <c r="D23" s="827"/>
    </row>
    <row r="24" spans="1:8" ht="24">
      <c r="B24" s="7" t="s">
        <v>33</v>
      </c>
      <c r="C24" s="827">
        <v>5250292.8</v>
      </c>
      <c r="D24" s="827"/>
    </row>
    <row r="25" spans="1:8" ht="26.25">
      <c r="B25" s="7" t="s">
        <v>34</v>
      </c>
      <c r="C25" s="828">
        <v>10145834.084226945</v>
      </c>
      <c r="D25" s="827">
        <f>SUM(C23:C25)</f>
        <v>105404675.35422696</v>
      </c>
      <c r="E25" s="825"/>
      <c r="F25" s="825"/>
    </row>
    <row r="26" spans="1:8" ht="24">
      <c r="B26" s="37" t="s">
        <v>35</v>
      </c>
      <c r="C26" s="827"/>
      <c r="D26" s="827"/>
    </row>
    <row r="27" spans="1:8" s="829" customFormat="1" ht="24">
      <c r="B27" s="922" t="s">
        <v>1554</v>
      </c>
      <c r="C27" s="923">
        <v>82135.199999999997</v>
      </c>
      <c r="D27" s="830"/>
      <c r="G27" s="831"/>
      <c r="H27" s="831"/>
    </row>
    <row r="28" spans="1:8" s="829" customFormat="1" ht="24">
      <c r="B28" s="922" t="s">
        <v>57</v>
      </c>
      <c r="C28" s="923">
        <v>32200</v>
      </c>
      <c r="D28" s="830"/>
      <c r="G28" s="831"/>
      <c r="H28" s="831"/>
    </row>
    <row r="29" spans="1:8" s="829" customFormat="1" ht="24">
      <c r="B29" s="922" t="s">
        <v>128</v>
      </c>
      <c r="C29" s="923">
        <v>71797</v>
      </c>
      <c r="D29" s="830"/>
      <c r="G29" s="831"/>
      <c r="H29" s="831"/>
    </row>
    <row r="30" spans="1:8" s="829" customFormat="1" ht="24">
      <c r="B30" s="922" t="s">
        <v>130</v>
      </c>
      <c r="C30" s="923">
        <v>220777</v>
      </c>
      <c r="D30" s="830"/>
      <c r="G30" s="831"/>
      <c r="H30" s="831"/>
    </row>
    <row r="31" spans="1:8" s="829" customFormat="1" ht="48">
      <c r="B31" s="922" t="s">
        <v>132</v>
      </c>
      <c r="C31" s="923">
        <v>307064520.05000001</v>
      </c>
      <c r="G31" s="831"/>
      <c r="H31" s="831"/>
    </row>
    <row r="32" spans="1:8" ht="24">
      <c r="B32" s="922" t="s">
        <v>134</v>
      </c>
      <c r="C32" s="923">
        <v>5291.4400000000005</v>
      </c>
    </row>
    <row r="33" spans="2:4" ht="24">
      <c r="B33" s="7" t="s">
        <v>136</v>
      </c>
      <c r="C33" s="924">
        <v>303566472.00000018</v>
      </c>
    </row>
    <row r="34" spans="2:4" ht="26.25">
      <c r="B34" s="7" t="s">
        <v>1555</v>
      </c>
      <c r="C34" s="925">
        <v>2399100</v>
      </c>
      <c r="D34" s="832">
        <f>+C27+C28+C29+C30+C31+C32+C33+C34</f>
        <v>613442292.69000018</v>
      </c>
    </row>
    <row r="35" spans="2:4" ht="24.95" customHeight="1">
      <c r="D35" s="833">
        <f>D21+D25-D34</f>
        <v>460202140.64422679</v>
      </c>
    </row>
    <row r="36" spans="2:4" ht="24.95" customHeight="1">
      <c r="D36" s="826">
        <f>F17-D35</f>
        <v>0</v>
      </c>
    </row>
  </sheetData>
  <mergeCells count="6">
    <mergeCell ref="A19:E19"/>
    <mergeCell ref="A1:F1"/>
    <mergeCell ref="A2:F2"/>
    <mergeCell ref="E3:F3"/>
    <mergeCell ref="A4:B4"/>
    <mergeCell ref="A17:B17"/>
  </mergeCells>
  <pageMargins left="1.03" right="0.23622047244094491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11"/>
  <sheetViews>
    <sheetView topLeftCell="A85" workbookViewId="0">
      <selection activeCell="E106" sqref="E106"/>
    </sheetView>
  </sheetViews>
  <sheetFormatPr defaultRowHeight="18.75"/>
  <cols>
    <col min="1" max="1" width="26.85546875" style="80" customWidth="1"/>
    <col min="2" max="2" width="47.140625" style="82" customWidth="1"/>
    <col min="3" max="3" width="9.140625" style="83" customWidth="1"/>
    <col min="4" max="4" width="6.42578125" style="80" customWidth="1"/>
    <col min="5" max="5" width="28.140625" style="80" customWidth="1"/>
    <col min="6" max="6" width="5.85546875" style="139" customWidth="1"/>
    <col min="7" max="7" width="6.42578125" style="80" customWidth="1"/>
    <col min="8" max="8" width="33.28515625" style="80" customWidth="1"/>
    <col min="9" max="9" width="8.140625" style="80" customWidth="1"/>
    <col min="10" max="10" width="7.5703125" style="80" customWidth="1"/>
    <col min="11" max="11" width="23.85546875" style="80" customWidth="1"/>
    <col min="12" max="12" width="6.85546875" style="80" customWidth="1"/>
    <col min="13" max="13" width="6.42578125" style="80" customWidth="1"/>
    <col min="14" max="16384" width="9.140625" style="80"/>
  </cols>
  <sheetData>
    <row r="1" spans="1:13">
      <c r="A1" s="79" t="s">
        <v>225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3">
      <c r="A2" s="85" t="s">
        <v>226</v>
      </c>
      <c r="B2" s="85" t="s">
        <v>227</v>
      </c>
      <c r="C2" s="86" t="s">
        <v>228</v>
      </c>
      <c r="D2" s="85" t="s">
        <v>229</v>
      </c>
      <c r="E2" s="85" t="s">
        <v>230</v>
      </c>
      <c r="F2" s="87" t="s">
        <v>228</v>
      </c>
      <c r="G2" s="85" t="s">
        <v>229</v>
      </c>
      <c r="H2" s="85" t="s">
        <v>138</v>
      </c>
      <c r="I2" s="85" t="s">
        <v>228</v>
      </c>
      <c r="J2" s="85" t="s">
        <v>229</v>
      </c>
      <c r="K2" s="85" t="s">
        <v>231</v>
      </c>
      <c r="L2" s="85" t="s">
        <v>228</v>
      </c>
      <c r="M2" s="85" t="s">
        <v>229</v>
      </c>
    </row>
    <row r="3" spans="1:13">
      <c r="A3" s="88" t="str">
        <f>+'[2]ตาราง3 '!A5</f>
        <v>1.กลุ่มงานมะเร็งนรีเวช</v>
      </c>
      <c r="B3" s="89" t="str">
        <f>+'[2]ตาราง3 '!B5</f>
        <v>1.1 การตรวจคัดกรองมะเร็งปากมดลูกระยะเริ่มแรก</v>
      </c>
      <c r="C3" s="90">
        <f>2601</f>
        <v>2601</v>
      </c>
      <c r="D3" s="91" t="s">
        <v>232</v>
      </c>
      <c r="E3" s="92" t="s">
        <v>233</v>
      </c>
      <c r="F3" s="90">
        <v>67049</v>
      </c>
      <c r="G3" s="91" t="s">
        <v>232</v>
      </c>
      <c r="H3" s="92" t="s">
        <v>234</v>
      </c>
      <c r="I3" s="93">
        <f>F3+F4</f>
        <v>69897</v>
      </c>
      <c r="J3" s="91" t="s">
        <v>232</v>
      </c>
      <c r="K3" s="94" t="s">
        <v>235</v>
      </c>
      <c r="L3" s="93">
        <f>I3</f>
        <v>69897</v>
      </c>
      <c r="M3" s="91" t="s">
        <v>232</v>
      </c>
    </row>
    <row r="4" spans="1:13">
      <c r="A4" s="95" t="str">
        <f>+'[2]ตาราง3 '!A6</f>
        <v>2.กลุ่มงานศัลยศาสตร์</v>
      </c>
      <c r="B4" s="96" t="str">
        <f>+'[2]ตาราง3 '!B6</f>
        <v xml:space="preserve">2.1. การบริการผ่าตัดวินิจโรค  ค้นหาโรคมะเร็ง  </v>
      </c>
      <c r="C4" s="97">
        <f>433</f>
        <v>433</v>
      </c>
      <c r="D4" s="98" t="s">
        <v>232</v>
      </c>
      <c r="E4" s="99" t="s">
        <v>236</v>
      </c>
      <c r="F4" s="97">
        <v>2848</v>
      </c>
      <c r="G4" s="98" t="s">
        <v>232</v>
      </c>
      <c r="H4" s="99" t="s">
        <v>237</v>
      </c>
      <c r="I4" s="100">
        <v>4</v>
      </c>
      <c r="J4" s="98" t="s">
        <v>238</v>
      </c>
      <c r="K4" s="99" t="s">
        <v>239</v>
      </c>
      <c r="L4" s="101"/>
      <c r="M4" s="102"/>
    </row>
    <row r="5" spans="1:13">
      <c r="A5" s="95" t="str">
        <f>+'[2]ตาราง3 '!A7</f>
        <v>3.กลุ่มงานวิสัญญีวิทยา</v>
      </c>
      <c r="B5" s="96" t="str">
        <f>+'[2]ตาราง3 '!B7</f>
        <v>3.1. ให้บริการการพยาบาลผู้ป่วยที่ได้รับการระงับความรู้สึกทุกประเภท</v>
      </c>
      <c r="C5" s="97">
        <f>755</f>
        <v>755</v>
      </c>
      <c r="D5" s="98" t="s">
        <v>232</v>
      </c>
      <c r="E5" s="99" t="s">
        <v>240</v>
      </c>
      <c r="F5" s="103">
        <v>4</v>
      </c>
      <c r="G5" s="98" t="s">
        <v>238</v>
      </c>
      <c r="H5" s="99" t="s">
        <v>1489</v>
      </c>
      <c r="I5" s="933">
        <v>1</v>
      </c>
      <c r="J5" s="98" t="s">
        <v>241</v>
      </c>
      <c r="K5" s="99" t="s">
        <v>242</v>
      </c>
      <c r="L5" s="98"/>
      <c r="M5" s="98"/>
    </row>
    <row r="6" spans="1:13">
      <c r="A6" s="95" t="str">
        <f>+'[2]ตาราง3 '!A8</f>
        <v>4.กลุ่มงานอายุรศาสตร์</v>
      </c>
      <c r="B6" s="96" t="str">
        <f>+'[2]ตาราง3 '!B8</f>
        <v>4.1 ให้บริการรักษาผู้ป่วยนอก</v>
      </c>
      <c r="C6" s="103">
        <f>2767+2329+1426+491+677+948+6614+33</f>
        <v>15285</v>
      </c>
      <c r="D6" s="98" t="s">
        <v>232</v>
      </c>
      <c r="E6" s="99" t="s">
        <v>1488</v>
      </c>
      <c r="F6" s="104">
        <v>1</v>
      </c>
      <c r="G6" s="98" t="s">
        <v>241</v>
      </c>
      <c r="H6" s="102"/>
      <c r="I6" s="101"/>
      <c r="J6" s="98"/>
      <c r="K6" s="99"/>
      <c r="L6" s="101"/>
      <c r="M6" s="98"/>
    </row>
    <row r="7" spans="1:13">
      <c r="A7" s="95"/>
      <c r="B7" s="96" t="str">
        <f>+'[2]ตาราง3 '!B9</f>
        <v>4.2 ให้บริการรักษาผู้ป่วยใน</v>
      </c>
      <c r="C7" s="104">
        <f>1530+1035+38</f>
        <v>2603</v>
      </c>
      <c r="D7" s="98" t="s">
        <v>232</v>
      </c>
      <c r="E7" s="102"/>
      <c r="F7" s="105"/>
      <c r="G7" s="106"/>
      <c r="H7" s="102"/>
      <c r="I7" s="101"/>
      <c r="J7" s="98"/>
      <c r="K7" s="99" t="s">
        <v>243</v>
      </c>
      <c r="L7" s="100">
        <v>52</v>
      </c>
      <c r="M7" s="98" t="s">
        <v>238</v>
      </c>
    </row>
    <row r="8" spans="1:13">
      <c r="A8" s="95" t="str">
        <f>+'[2]ตาราง3 '!A10</f>
        <v>5.กลุ่มงานเคมีบำบัด</v>
      </c>
      <c r="B8" s="96" t="str">
        <f>+'[2]ตาราง3 '!B10</f>
        <v>5.1 ให้บริการรักษาผู้ป่วยโรคมะเร็งด้วยยาเคมีบำบัด ผู้ป่วยนอก</v>
      </c>
      <c r="C8" s="97">
        <f>203+1879</f>
        <v>2082</v>
      </c>
      <c r="D8" s="98" t="s">
        <v>232</v>
      </c>
      <c r="E8" s="102"/>
      <c r="F8" s="105"/>
      <c r="G8" s="106"/>
      <c r="H8" s="107"/>
      <c r="I8" s="106"/>
      <c r="J8" s="106"/>
      <c r="K8" s="99" t="s">
        <v>244</v>
      </c>
      <c r="L8" s="106"/>
      <c r="M8" s="106"/>
    </row>
    <row r="9" spans="1:13">
      <c r="A9" s="95"/>
      <c r="B9" s="96" t="str">
        <f>+'[2]ตาราง3 '!B11</f>
        <v>5.2 .ให้บริการรักษาผู้ป่วยโรคมะเร็งด้วยยาเคมีบำบัด ผู้ป่วยใน</v>
      </c>
      <c r="C9" s="97">
        <f>268+2213</f>
        <v>2481</v>
      </c>
      <c r="D9" s="98" t="s">
        <v>232</v>
      </c>
      <c r="E9" s="102"/>
      <c r="F9" s="105"/>
      <c r="G9" s="106"/>
      <c r="H9" s="102"/>
      <c r="I9" s="106"/>
      <c r="J9" s="106"/>
      <c r="K9" s="102"/>
      <c r="L9" s="106"/>
      <c r="M9" s="106"/>
    </row>
    <row r="10" spans="1:13">
      <c r="A10" s="95" t="str">
        <f>+'[2]ตาราง3 '!A12</f>
        <v>6.กลุ่มงานโสต ศอ นาสิก</v>
      </c>
      <c r="B10" s="96" t="str">
        <f>+'[2]ตาราง3 '!B12</f>
        <v>6.1. ให้บริการผู้ป่วยมะเร็งโสต ศอ นาสิก ด้วยรังสีรักษา</v>
      </c>
      <c r="C10" s="108">
        <v>0</v>
      </c>
      <c r="D10" s="98" t="s">
        <v>232</v>
      </c>
      <c r="E10" s="102"/>
      <c r="F10" s="105"/>
      <c r="G10" s="106"/>
      <c r="H10" s="102"/>
      <c r="I10" s="106"/>
      <c r="J10" s="106"/>
      <c r="K10" s="106"/>
      <c r="L10" s="106"/>
      <c r="M10" s="106"/>
    </row>
    <row r="11" spans="1:13">
      <c r="A11" s="95" t="str">
        <f>+'[2]ตาราง3 '!A13</f>
        <v>7.กลุ่มงานรังสีรักษา</v>
      </c>
      <c r="B11" s="96" t="s">
        <v>245</v>
      </c>
      <c r="C11" s="104">
        <v>1364</v>
      </c>
      <c r="D11" s="98" t="s">
        <v>232</v>
      </c>
      <c r="E11" s="106"/>
      <c r="F11" s="105"/>
      <c r="G11" s="106"/>
      <c r="H11" s="106"/>
      <c r="I11" s="106"/>
      <c r="J11" s="106"/>
      <c r="K11" s="106"/>
      <c r="L11" s="106"/>
      <c r="M11" s="106"/>
    </row>
    <row r="12" spans="1:13">
      <c r="A12" s="95" t="s">
        <v>1461</v>
      </c>
      <c r="B12" s="96" t="str">
        <f>+'[2]ตาราง3 '!B15</f>
        <v>8.1 บริการตรวจค้นหาและศึกษาวิเคราะห์ความผิดปกติจากภาพถ่ายเอกซเรย์ปอด</v>
      </c>
      <c r="C12" s="104">
        <f>8489</f>
        <v>8489</v>
      </c>
      <c r="D12" s="98" t="s">
        <v>232</v>
      </c>
      <c r="E12" s="106"/>
      <c r="F12" s="105"/>
      <c r="G12" s="106"/>
      <c r="H12" s="106"/>
      <c r="I12" s="106"/>
      <c r="J12" s="106"/>
      <c r="K12" s="106"/>
      <c r="L12" s="106"/>
      <c r="M12" s="106"/>
    </row>
    <row r="13" spans="1:13">
      <c r="A13" s="95"/>
      <c r="B13" s="96" t="str">
        <f>+'[2]ตาราง3 '!B16</f>
        <v>8.2 ให้บริการตรวจค้นหา ศึกษา วิเคราะห์มะเร็งของงานเอกซเรย์พิเศษ</v>
      </c>
      <c r="C13" s="104">
        <f>3</f>
        <v>3</v>
      </c>
      <c r="D13" s="98" t="s">
        <v>232</v>
      </c>
      <c r="E13" s="106"/>
      <c r="F13" s="105"/>
      <c r="G13" s="106"/>
      <c r="H13" s="106"/>
      <c r="I13" s="106"/>
      <c r="J13" s="106"/>
      <c r="K13" s="106"/>
      <c r="L13" s="106"/>
      <c r="M13" s="106"/>
    </row>
    <row r="14" spans="1:13">
      <c r="A14" s="95"/>
      <c r="B14" s="96" t="str">
        <f>+'[2]ตาราง3 '!B17</f>
        <v>8.3. ให้บริการตรวจด้วยคลื่นเสียงความถี่สูง</v>
      </c>
      <c r="C14" s="104">
        <f>3872</f>
        <v>3872</v>
      </c>
      <c r="D14" s="98" t="s">
        <v>232</v>
      </c>
      <c r="E14" s="109"/>
      <c r="F14" s="105"/>
      <c r="G14" s="106"/>
      <c r="H14" s="106"/>
      <c r="I14" s="106"/>
      <c r="J14" s="106"/>
      <c r="K14" s="106"/>
      <c r="L14" s="106"/>
      <c r="M14" s="106"/>
    </row>
    <row r="15" spans="1:13">
      <c r="A15" s="95"/>
      <c r="B15" s="96" t="str">
        <f>+'[2]ตาราง3 '!B18</f>
        <v>8.4 .ให้บริการตรวจเพื่อค้นหา รวมทั้งศึกษา วิเคราะห์โรคมะเร็งเต้านมและความผิดปกติของ</v>
      </c>
      <c r="C15" s="104">
        <f>1758</f>
        <v>1758</v>
      </c>
      <c r="D15" s="98" t="s">
        <v>232</v>
      </c>
      <c r="E15" s="110"/>
      <c r="F15" s="105"/>
      <c r="G15" s="106"/>
      <c r="H15" s="106"/>
      <c r="I15" s="106"/>
      <c r="J15" s="106"/>
      <c r="K15" s="106"/>
      <c r="L15" s="106"/>
      <c r="M15" s="106"/>
    </row>
    <row r="16" spans="1:13">
      <c r="A16" s="95"/>
      <c r="B16" s="96" t="str">
        <f>+'[2]ตาราง3 '!B19</f>
        <v>เต้านมจากการถ่ายเอกซเรย์เต้านม</v>
      </c>
      <c r="C16" s="104"/>
      <c r="D16" s="98"/>
      <c r="E16" s="106"/>
      <c r="F16" s="105"/>
      <c r="G16" s="106"/>
      <c r="H16" s="106"/>
      <c r="I16" s="106"/>
      <c r="J16" s="106"/>
      <c r="K16" s="106"/>
      <c r="L16" s="106"/>
      <c r="M16" s="106"/>
    </row>
    <row r="17" spans="1:13">
      <c r="A17" s="95" t="str">
        <f>+'[2]ตาราง3 '!A20</f>
        <v>9. กลุ่มงานเวชศาสตร์นิวเคลียร์</v>
      </c>
      <c r="B17" s="96" t="str">
        <f>+'[2]ตาราง3 '!B20</f>
        <v>9.1. ให้บริการตรวจวินิจฉัยและรักษาผู้ป่วยด้านเวชศาสตร์นิวเคลียร์</v>
      </c>
      <c r="C17" s="104">
        <f>4129</f>
        <v>4129</v>
      </c>
      <c r="D17" s="98" t="s">
        <v>232</v>
      </c>
      <c r="E17" s="106"/>
      <c r="F17" s="105"/>
      <c r="G17" s="106"/>
      <c r="H17" s="106"/>
      <c r="I17" s="106"/>
      <c r="J17" s="106"/>
      <c r="K17" s="106"/>
      <c r="L17" s="106"/>
      <c r="M17" s="106"/>
    </row>
    <row r="18" spans="1:13">
      <c r="A18" s="95" t="s">
        <v>246</v>
      </c>
      <c r="B18" s="96" t="s">
        <v>247</v>
      </c>
      <c r="C18" s="104">
        <v>4486</v>
      </c>
      <c r="D18" s="98" t="s">
        <v>232</v>
      </c>
      <c r="E18" s="102"/>
      <c r="F18" s="105"/>
      <c r="G18" s="106"/>
      <c r="H18" s="106"/>
      <c r="I18" s="106"/>
      <c r="J18" s="106"/>
      <c r="K18" s="106"/>
      <c r="L18" s="106"/>
      <c r="M18" s="106"/>
    </row>
    <row r="19" spans="1:13">
      <c r="A19" s="95" t="s">
        <v>248</v>
      </c>
      <c r="B19" s="96" t="s">
        <v>1478</v>
      </c>
      <c r="C19" s="104">
        <f>460+964+64+34+23+50+34+68+50+86</f>
        <v>1833</v>
      </c>
      <c r="D19" s="98" t="s">
        <v>232</v>
      </c>
      <c r="E19" s="99"/>
      <c r="F19" s="105"/>
      <c r="G19" s="106"/>
      <c r="H19" s="106"/>
      <c r="I19" s="106"/>
      <c r="J19" s="106"/>
      <c r="K19" s="106"/>
      <c r="L19" s="106"/>
      <c r="M19" s="106"/>
    </row>
    <row r="20" spans="1:13">
      <c r="A20" s="95" t="s">
        <v>250</v>
      </c>
      <c r="B20" s="96" t="s">
        <v>251</v>
      </c>
      <c r="C20" s="104">
        <f>2068</f>
        <v>2068</v>
      </c>
      <c r="D20" s="98" t="s">
        <v>232</v>
      </c>
      <c r="E20" s="102"/>
      <c r="F20" s="105"/>
      <c r="G20" s="106"/>
      <c r="H20" s="106"/>
      <c r="I20" s="106"/>
      <c r="J20" s="106"/>
      <c r="K20" s="106"/>
      <c r="L20" s="106"/>
      <c r="M20" s="106"/>
    </row>
    <row r="21" spans="1:13">
      <c r="A21" s="95"/>
      <c r="B21" s="96" t="s">
        <v>252</v>
      </c>
      <c r="C21" s="104">
        <f>115</f>
        <v>115</v>
      </c>
      <c r="D21" s="98" t="s">
        <v>232</v>
      </c>
      <c r="E21" s="102"/>
      <c r="F21" s="105"/>
      <c r="G21" s="106"/>
      <c r="H21" s="106"/>
      <c r="I21" s="106"/>
      <c r="J21" s="106"/>
      <c r="K21" s="106"/>
      <c r="L21" s="106"/>
      <c r="M21" s="106"/>
    </row>
    <row r="22" spans="1:13">
      <c r="A22" s="95" t="s">
        <v>253</v>
      </c>
      <c r="B22" s="96" t="s">
        <v>254</v>
      </c>
      <c r="C22" s="104">
        <v>7109</v>
      </c>
      <c r="D22" s="98" t="s">
        <v>241</v>
      </c>
      <c r="E22" s="99"/>
      <c r="F22" s="105"/>
      <c r="G22" s="106"/>
      <c r="H22" s="106"/>
      <c r="I22" s="106"/>
      <c r="J22" s="106"/>
      <c r="K22" s="106"/>
      <c r="L22" s="106"/>
      <c r="M22" s="106"/>
    </row>
    <row r="23" spans="1:13">
      <c r="A23" s="95"/>
      <c r="B23" s="96" t="s">
        <v>255</v>
      </c>
      <c r="C23" s="104">
        <v>20662</v>
      </c>
      <c r="D23" s="98" t="s">
        <v>241</v>
      </c>
      <c r="E23" s="99"/>
      <c r="F23" s="105"/>
      <c r="G23" s="106"/>
      <c r="H23" s="106"/>
      <c r="I23" s="106"/>
      <c r="J23" s="106"/>
      <c r="K23" s="106"/>
      <c r="L23" s="106"/>
      <c r="M23" s="106"/>
    </row>
    <row r="24" spans="1:13">
      <c r="A24" s="95" t="s">
        <v>256</v>
      </c>
      <c r="B24" s="96" t="s">
        <v>1462</v>
      </c>
      <c r="C24" s="104">
        <v>1771</v>
      </c>
      <c r="D24" s="98" t="s">
        <v>232</v>
      </c>
      <c r="E24" s="102"/>
      <c r="F24" s="105"/>
      <c r="G24" s="106"/>
      <c r="H24" s="106"/>
      <c r="I24" s="106"/>
      <c r="J24" s="106"/>
      <c r="K24" s="106"/>
      <c r="L24" s="106"/>
      <c r="M24" s="106"/>
    </row>
    <row r="25" spans="1:13">
      <c r="A25" s="95"/>
      <c r="B25" s="96" t="s">
        <v>1463</v>
      </c>
      <c r="C25" s="104">
        <v>482</v>
      </c>
      <c r="D25" s="98" t="s">
        <v>232</v>
      </c>
      <c r="E25" s="102"/>
      <c r="F25" s="105"/>
      <c r="G25" s="106"/>
      <c r="H25" s="106"/>
      <c r="I25" s="106"/>
      <c r="J25" s="106"/>
      <c r="K25" s="106"/>
      <c r="L25" s="106"/>
      <c r="M25" s="106"/>
    </row>
    <row r="26" spans="1:13">
      <c r="A26" s="95" t="s">
        <v>259</v>
      </c>
      <c r="B26" s="96" t="s">
        <v>260</v>
      </c>
      <c r="C26" s="104">
        <v>658</v>
      </c>
      <c r="D26" s="98" t="s">
        <v>232</v>
      </c>
      <c r="E26" s="106"/>
      <c r="F26" s="105"/>
      <c r="G26" s="106"/>
      <c r="H26" s="106"/>
      <c r="I26" s="106"/>
      <c r="J26" s="106"/>
      <c r="K26" s="106"/>
      <c r="L26" s="106"/>
      <c r="M26" s="106"/>
    </row>
    <row r="27" spans="1:13">
      <c r="A27" s="95"/>
      <c r="B27" s="96" t="s">
        <v>261</v>
      </c>
      <c r="C27" s="104">
        <v>2716</v>
      </c>
      <c r="D27" s="98" t="s">
        <v>232</v>
      </c>
      <c r="E27" s="106"/>
      <c r="F27" s="105"/>
      <c r="G27" s="106"/>
      <c r="H27" s="106"/>
      <c r="I27" s="106"/>
      <c r="J27" s="106"/>
      <c r="K27" s="106"/>
      <c r="L27" s="106"/>
      <c r="M27" s="106"/>
    </row>
    <row r="28" spans="1:13">
      <c r="A28" s="95" t="s">
        <v>262</v>
      </c>
      <c r="B28" s="96" t="s">
        <v>263</v>
      </c>
      <c r="C28" s="104">
        <f>132223+18155+29733+13541+7385+8807+17845+6837+1452+9556+666</f>
        <v>246200</v>
      </c>
      <c r="D28" s="98" t="s">
        <v>232</v>
      </c>
      <c r="E28" s="102"/>
      <c r="F28" s="105"/>
      <c r="G28" s="106"/>
      <c r="H28" s="106"/>
      <c r="I28" s="106"/>
      <c r="J28" s="106"/>
      <c r="K28" s="106"/>
      <c r="L28" s="106"/>
      <c r="M28" s="106"/>
    </row>
    <row r="29" spans="1:13">
      <c r="A29" s="95" t="s">
        <v>264</v>
      </c>
      <c r="B29" s="96" t="s">
        <v>265</v>
      </c>
      <c r="C29" s="104">
        <f>67049</f>
        <v>67049</v>
      </c>
      <c r="D29" s="98" t="s">
        <v>232</v>
      </c>
      <c r="E29" s="104"/>
      <c r="F29" s="105"/>
      <c r="G29" s="106"/>
      <c r="H29" s="106"/>
      <c r="I29" s="106"/>
      <c r="J29" s="106"/>
      <c r="K29" s="106"/>
      <c r="L29" s="106"/>
      <c r="M29" s="106"/>
    </row>
    <row r="30" spans="1:13">
      <c r="A30" s="95" t="s">
        <v>266</v>
      </c>
      <c r="B30" s="96" t="s">
        <v>267</v>
      </c>
      <c r="C30" s="104">
        <f>1530+1035</f>
        <v>2565</v>
      </c>
      <c r="D30" s="98" t="s">
        <v>232</v>
      </c>
      <c r="E30" s="99"/>
      <c r="F30" s="105"/>
      <c r="G30" s="106"/>
      <c r="H30" s="106"/>
      <c r="I30" s="106"/>
      <c r="J30" s="106"/>
      <c r="K30" s="106"/>
      <c r="L30" s="106"/>
      <c r="M30" s="106"/>
    </row>
    <row r="31" spans="1:13">
      <c r="A31" s="95" t="s">
        <v>268</v>
      </c>
      <c r="B31" s="96" t="s">
        <v>269</v>
      </c>
      <c r="C31" s="104">
        <f>40+3</f>
        <v>43</v>
      </c>
      <c r="D31" s="98" t="s">
        <v>241</v>
      </c>
      <c r="E31" s="99"/>
      <c r="F31" s="105"/>
      <c r="G31" s="106"/>
      <c r="H31" s="106"/>
      <c r="I31" s="106"/>
      <c r="J31" s="106"/>
      <c r="K31" s="106"/>
      <c r="L31" s="106"/>
      <c r="M31" s="106"/>
    </row>
    <row r="32" spans="1:13" ht="16.5" customHeight="1">
      <c r="A32" s="112" t="s">
        <v>270</v>
      </c>
      <c r="B32" s="96" t="s">
        <v>1483</v>
      </c>
      <c r="C32" s="104">
        <v>385</v>
      </c>
      <c r="D32" s="106" t="s">
        <v>232</v>
      </c>
      <c r="E32" s="102"/>
      <c r="F32" s="105"/>
      <c r="G32" s="106"/>
      <c r="H32" s="106"/>
      <c r="I32" s="106"/>
      <c r="J32" s="106"/>
      <c r="K32" s="106"/>
      <c r="L32" s="106"/>
      <c r="M32" s="106"/>
    </row>
    <row r="33" spans="1:13" ht="15.75" customHeight="1">
      <c r="A33" s="112" t="s">
        <v>272</v>
      </c>
      <c r="B33" s="96" t="s">
        <v>273</v>
      </c>
      <c r="C33" s="104">
        <v>38</v>
      </c>
      <c r="D33" s="106" t="s">
        <v>232</v>
      </c>
      <c r="E33" s="102"/>
      <c r="F33" s="105"/>
      <c r="G33" s="106"/>
      <c r="H33" s="106"/>
      <c r="I33" s="106"/>
      <c r="J33" s="106"/>
      <c r="K33" s="106"/>
      <c r="L33" s="106"/>
      <c r="M33" s="106"/>
    </row>
    <row r="34" spans="1:13">
      <c r="A34" s="95" t="s">
        <v>274</v>
      </c>
      <c r="B34" s="96" t="s">
        <v>275</v>
      </c>
      <c r="C34" s="104">
        <v>1364</v>
      </c>
      <c r="D34" s="106" t="s">
        <v>232</v>
      </c>
      <c r="E34" s="102"/>
      <c r="F34" s="105"/>
      <c r="G34" s="106"/>
      <c r="H34" s="106"/>
      <c r="I34" s="106"/>
      <c r="J34" s="106"/>
      <c r="K34" s="106"/>
      <c r="L34" s="106"/>
      <c r="M34" s="106"/>
    </row>
    <row r="35" spans="1:13">
      <c r="A35" s="95" t="s">
        <v>276</v>
      </c>
      <c r="B35" s="96" t="s">
        <v>277</v>
      </c>
      <c r="C35" s="104">
        <f>107+17+4+627</f>
        <v>755</v>
      </c>
      <c r="D35" s="106" t="s">
        <v>232</v>
      </c>
      <c r="E35" s="102"/>
      <c r="F35" s="105"/>
      <c r="G35" s="106"/>
      <c r="H35" s="106"/>
      <c r="I35" s="106"/>
      <c r="J35" s="106"/>
      <c r="K35" s="106"/>
      <c r="L35" s="106"/>
      <c r="M35" s="106"/>
    </row>
    <row r="36" spans="1:13">
      <c r="A36" s="95" t="s">
        <v>278</v>
      </c>
      <c r="B36" s="96" t="s">
        <v>1476</v>
      </c>
      <c r="C36" s="104">
        <f>72+340+522</f>
        <v>934</v>
      </c>
      <c r="D36" s="106" t="s">
        <v>232</v>
      </c>
      <c r="E36" s="102"/>
      <c r="F36" s="105"/>
      <c r="G36" s="106"/>
      <c r="H36" s="106"/>
      <c r="I36" s="106"/>
      <c r="J36" s="106"/>
      <c r="K36" s="106"/>
      <c r="L36" s="106"/>
      <c r="M36" s="106"/>
    </row>
    <row r="37" spans="1:13">
      <c r="A37" s="95" t="s">
        <v>280</v>
      </c>
      <c r="B37" s="96" t="s">
        <v>281</v>
      </c>
      <c r="C37" s="104">
        <v>433</v>
      </c>
      <c r="D37" s="106" t="s">
        <v>232</v>
      </c>
      <c r="E37" s="102"/>
      <c r="F37" s="105"/>
      <c r="G37" s="106"/>
      <c r="H37" s="106"/>
      <c r="I37" s="106"/>
      <c r="J37" s="106"/>
      <c r="K37" s="106"/>
      <c r="L37" s="106"/>
      <c r="M37" s="106"/>
    </row>
    <row r="38" spans="1:13">
      <c r="A38" s="113" t="s">
        <v>282</v>
      </c>
      <c r="B38" s="114" t="s">
        <v>283</v>
      </c>
      <c r="C38" s="115">
        <v>539</v>
      </c>
      <c r="D38" s="116" t="s">
        <v>241</v>
      </c>
      <c r="E38" s="117"/>
      <c r="F38" s="118"/>
      <c r="G38" s="116"/>
      <c r="H38" s="116"/>
      <c r="I38" s="116"/>
      <c r="J38" s="116"/>
      <c r="K38" s="116"/>
      <c r="L38" s="116"/>
      <c r="M38" s="116"/>
    </row>
    <row r="39" spans="1:13">
      <c r="A39" s="113"/>
      <c r="B39" s="114" t="s">
        <v>284</v>
      </c>
      <c r="C39" s="115">
        <v>39170</v>
      </c>
      <c r="D39" s="116" t="s">
        <v>1497</v>
      </c>
      <c r="E39" s="117"/>
      <c r="F39" s="118"/>
      <c r="G39" s="116"/>
      <c r="H39" s="116"/>
      <c r="I39" s="116"/>
      <c r="J39" s="116"/>
      <c r="K39" s="116"/>
      <c r="L39" s="116"/>
      <c r="M39" s="116"/>
    </row>
    <row r="40" spans="1:13">
      <c r="A40" s="113" t="s">
        <v>285</v>
      </c>
      <c r="B40" s="114" t="s">
        <v>286</v>
      </c>
      <c r="C40" s="115">
        <v>4563</v>
      </c>
      <c r="D40" s="116" t="s">
        <v>232</v>
      </c>
      <c r="E40" s="117"/>
      <c r="F40" s="118"/>
      <c r="G40" s="116"/>
      <c r="H40" s="116"/>
      <c r="I40" s="116"/>
      <c r="J40" s="116"/>
      <c r="K40" s="116"/>
      <c r="L40" s="116"/>
      <c r="M40" s="116"/>
    </row>
    <row r="41" spans="1:13">
      <c r="A41" s="119" t="s">
        <v>1546</v>
      </c>
      <c r="B41" s="120" t="s">
        <v>1547</v>
      </c>
      <c r="C41" s="121">
        <v>521</v>
      </c>
      <c r="D41" s="122" t="s">
        <v>232</v>
      </c>
      <c r="E41" s="122"/>
      <c r="F41" s="123"/>
      <c r="G41" s="122"/>
      <c r="H41" s="122"/>
      <c r="I41" s="122"/>
      <c r="J41" s="122"/>
      <c r="K41" s="122"/>
      <c r="L41" s="122"/>
      <c r="M41" s="122"/>
    </row>
    <row r="42" spans="1:13">
      <c r="A42" s="124"/>
      <c r="B42" s="125"/>
      <c r="C42" s="126"/>
      <c r="D42" s="127"/>
      <c r="E42" s="127"/>
      <c r="F42" s="128"/>
      <c r="G42" s="127"/>
      <c r="H42" s="127"/>
      <c r="I42" s="127"/>
      <c r="J42" s="127"/>
      <c r="K42" s="127"/>
      <c r="L42" s="127"/>
      <c r="M42" s="127"/>
    </row>
    <row r="43" spans="1:13">
      <c r="A43" s="129"/>
      <c r="B43" s="130"/>
      <c r="D43" s="81"/>
      <c r="E43" s="81"/>
      <c r="F43" s="84"/>
      <c r="G43" s="81"/>
      <c r="H43" s="81"/>
      <c r="I43" s="81"/>
      <c r="J43" s="81"/>
      <c r="K43" s="81"/>
      <c r="L43" s="81"/>
      <c r="M43" s="81"/>
    </row>
    <row r="44" spans="1:13">
      <c r="A44" s="129"/>
      <c r="B44" s="130"/>
      <c r="D44" s="81"/>
      <c r="E44" s="81"/>
      <c r="F44" s="84"/>
      <c r="G44" s="81"/>
      <c r="H44" s="81"/>
      <c r="I44" s="81"/>
      <c r="J44" s="81"/>
      <c r="K44" s="81"/>
      <c r="L44" s="81"/>
      <c r="M44" s="81"/>
    </row>
    <row r="45" spans="1:13">
      <c r="A45" s="129"/>
      <c r="B45" s="130"/>
      <c r="D45" s="81"/>
      <c r="E45" s="81"/>
      <c r="F45" s="84"/>
      <c r="G45" s="81"/>
      <c r="H45" s="81"/>
      <c r="I45" s="81"/>
      <c r="J45" s="81"/>
      <c r="K45" s="81"/>
      <c r="L45" s="81"/>
      <c r="M45" s="81"/>
    </row>
    <row r="46" spans="1:13">
      <c r="A46" s="129"/>
      <c r="B46" s="130"/>
      <c r="D46" s="81"/>
      <c r="E46" s="81"/>
      <c r="F46" s="84"/>
      <c r="G46" s="81"/>
      <c r="H46" s="81"/>
      <c r="I46" s="81"/>
      <c r="J46" s="81"/>
      <c r="K46" s="81"/>
      <c r="L46" s="81"/>
      <c r="M46" s="81"/>
    </row>
    <row r="47" spans="1:13">
      <c r="A47" s="129"/>
      <c r="B47" s="130"/>
      <c r="D47" s="81"/>
      <c r="E47" s="81"/>
      <c r="F47" s="84"/>
      <c r="G47" s="81"/>
      <c r="H47" s="81"/>
      <c r="I47" s="81"/>
      <c r="J47" s="81"/>
      <c r="K47" s="81"/>
      <c r="L47" s="81"/>
      <c r="M47" s="81"/>
    </row>
    <row r="48" spans="1:13">
      <c r="A48" s="129"/>
      <c r="B48" s="130"/>
      <c r="D48" s="81"/>
      <c r="E48" s="81"/>
      <c r="F48" s="84"/>
      <c r="G48" s="81"/>
      <c r="H48" s="81"/>
      <c r="I48" s="81"/>
      <c r="J48" s="81"/>
      <c r="K48" s="81"/>
      <c r="L48" s="81"/>
      <c r="M48" s="81"/>
    </row>
    <row r="49" spans="1:13">
      <c r="A49" s="129"/>
      <c r="B49" s="130"/>
      <c r="D49" s="81"/>
      <c r="E49" s="81"/>
      <c r="F49" s="84"/>
      <c r="G49" s="81"/>
      <c r="H49" s="81"/>
      <c r="I49" s="81"/>
      <c r="J49" s="81"/>
      <c r="K49" s="81"/>
      <c r="L49" s="81"/>
      <c r="M49" s="81"/>
    </row>
    <row r="50" spans="1:13">
      <c r="A50" s="129"/>
      <c r="B50" s="130"/>
      <c r="D50" s="81"/>
      <c r="E50" s="81"/>
      <c r="F50" s="84"/>
      <c r="G50" s="81"/>
      <c r="H50" s="81"/>
      <c r="I50" s="81"/>
      <c r="J50" s="81"/>
      <c r="K50" s="81"/>
      <c r="L50" s="81"/>
      <c r="M50" s="81"/>
    </row>
    <row r="51" spans="1:13">
      <c r="A51" s="129"/>
      <c r="B51" s="130"/>
      <c r="D51" s="81"/>
      <c r="E51" s="81"/>
      <c r="F51" s="84"/>
      <c r="G51" s="81"/>
      <c r="H51" s="81"/>
      <c r="I51" s="81"/>
      <c r="J51" s="81"/>
      <c r="K51" s="81"/>
      <c r="L51" s="81"/>
      <c r="M51" s="81"/>
    </row>
    <row r="52" spans="1:13">
      <c r="A52" s="129"/>
      <c r="B52" s="130"/>
      <c r="D52" s="81"/>
      <c r="E52" s="81"/>
      <c r="F52" s="84"/>
      <c r="G52" s="81"/>
      <c r="H52" s="81"/>
      <c r="I52" s="81"/>
      <c r="J52" s="81"/>
      <c r="K52" s="81"/>
      <c r="L52" s="81"/>
      <c r="M52" s="81"/>
    </row>
    <row r="53" spans="1:13">
      <c r="A53" s="129"/>
      <c r="B53" s="130"/>
      <c r="D53" s="81"/>
      <c r="E53" s="81"/>
      <c r="F53" s="84"/>
      <c r="G53" s="81"/>
      <c r="H53" s="81"/>
      <c r="I53" s="81"/>
      <c r="J53" s="81"/>
      <c r="K53" s="81"/>
      <c r="L53" s="81"/>
      <c r="M53" s="81"/>
    </row>
    <row r="54" spans="1:13">
      <c r="A54" s="129"/>
      <c r="B54" s="130"/>
      <c r="D54" s="81"/>
      <c r="E54" s="81"/>
      <c r="F54" s="84"/>
      <c r="G54" s="81"/>
      <c r="H54" s="81"/>
      <c r="I54" s="81"/>
      <c r="J54" s="81"/>
      <c r="K54" s="81"/>
      <c r="L54" s="81"/>
      <c r="M54" s="81"/>
    </row>
    <row r="55" spans="1:13">
      <c r="A55" s="129"/>
      <c r="B55" s="130"/>
      <c r="D55" s="81"/>
      <c r="E55" s="81"/>
      <c r="F55" s="84"/>
      <c r="G55" s="81"/>
      <c r="H55" s="81"/>
      <c r="I55" s="81"/>
      <c r="J55" s="81"/>
      <c r="K55" s="81"/>
      <c r="L55" s="81"/>
      <c r="M55" s="81"/>
    </row>
    <row r="56" spans="1:13">
      <c r="A56" s="129"/>
      <c r="B56" s="130"/>
      <c r="D56" s="81"/>
      <c r="E56" s="81"/>
      <c r="F56" s="84"/>
      <c r="G56" s="81"/>
      <c r="H56" s="81"/>
      <c r="I56" s="81"/>
      <c r="J56" s="81"/>
      <c r="K56" s="81"/>
      <c r="L56" s="81"/>
      <c r="M56" s="81"/>
    </row>
    <row r="57" spans="1:13">
      <c r="A57" s="129"/>
      <c r="B57" s="130"/>
      <c r="D57" s="81"/>
      <c r="E57" s="81"/>
      <c r="F57" s="84"/>
      <c r="G57" s="81"/>
      <c r="H57" s="81"/>
      <c r="I57" s="81"/>
      <c r="J57" s="81"/>
      <c r="K57" s="81"/>
      <c r="L57" s="81"/>
      <c r="M57" s="81"/>
    </row>
    <row r="58" spans="1:13">
      <c r="A58" s="129"/>
      <c r="B58" s="130"/>
      <c r="D58" s="81"/>
      <c r="E58" s="81"/>
      <c r="F58" s="84"/>
      <c r="G58" s="81"/>
      <c r="H58" s="81"/>
      <c r="I58" s="81"/>
      <c r="J58" s="81"/>
      <c r="K58" s="81"/>
      <c r="L58" s="81"/>
      <c r="M58" s="81"/>
    </row>
    <row r="59" spans="1:13">
      <c r="A59" s="129"/>
      <c r="B59" s="130"/>
      <c r="D59" s="81"/>
      <c r="E59" s="81"/>
      <c r="F59" s="84"/>
      <c r="G59" s="81"/>
      <c r="H59" s="81"/>
      <c r="I59" s="81"/>
      <c r="J59" s="81"/>
      <c r="K59" s="81"/>
      <c r="L59" s="81"/>
      <c r="M59" s="81"/>
    </row>
    <row r="60" spans="1:13">
      <c r="A60" s="129"/>
      <c r="B60" s="130"/>
      <c r="D60" s="81"/>
      <c r="E60" s="81"/>
      <c r="F60" s="84"/>
      <c r="G60" s="81"/>
      <c r="H60" s="81"/>
      <c r="I60" s="81"/>
      <c r="J60" s="81"/>
      <c r="K60" s="81"/>
      <c r="L60" s="81"/>
      <c r="M60" s="81"/>
    </row>
    <row r="61" spans="1:13">
      <c r="A61" s="129"/>
      <c r="B61" s="130"/>
      <c r="D61" s="81"/>
      <c r="E61" s="81"/>
      <c r="F61" s="84"/>
      <c r="G61" s="81"/>
      <c r="H61" s="81"/>
      <c r="I61" s="81"/>
      <c r="J61" s="81"/>
      <c r="K61" s="81"/>
      <c r="L61" s="81"/>
      <c r="M61" s="81"/>
    </row>
    <row r="62" spans="1:13">
      <c r="A62" s="129"/>
      <c r="B62" s="130"/>
      <c r="D62" s="81"/>
      <c r="E62" s="81"/>
      <c r="F62" s="84"/>
      <c r="G62" s="81"/>
      <c r="H62" s="81"/>
      <c r="I62" s="81"/>
      <c r="J62" s="81"/>
      <c r="K62" s="81"/>
      <c r="L62" s="81"/>
      <c r="M62" s="81"/>
    </row>
    <row r="63" spans="1:13">
      <c r="A63" s="129"/>
      <c r="B63" s="130"/>
      <c r="D63" s="81"/>
      <c r="E63" s="81"/>
      <c r="F63" s="84"/>
      <c r="G63" s="81"/>
      <c r="H63" s="81"/>
      <c r="I63" s="81"/>
      <c r="J63" s="81"/>
      <c r="K63" s="81"/>
      <c r="L63" s="81"/>
      <c r="M63" s="81"/>
    </row>
    <row r="64" spans="1:13">
      <c r="A64" s="129"/>
      <c r="B64" s="130"/>
      <c r="D64" s="81"/>
      <c r="E64" s="81"/>
      <c r="F64" s="84"/>
      <c r="G64" s="81"/>
      <c r="H64" s="81"/>
      <c r="I64" s="81"/>
      <c r="J64" s="81"/>
      <c r="K64" s="81"/>
      <c r="L64" s="81"/>
      <c r="M64" s="81"/>
    </row>
    <row r="65" spans="1:13">
      <c r="A65" s="129"/>
      <c r="B65" s="130"/>
      <c r="D65" s="81"/>
      <c r="E65" s="81"/>
      <c r="F65" s="84"/>
      <c r="G65" s="81"/>
      <c r="H65" s="81"/>
      <c r="I65" s="81"/>
      <c r="J65" s="81"/>
      <c r="K65" s="81"/>
      <c r="L65" s="81"/>
      <c r="M65" s="81"/>
    </row>
    <row r="66" spans="1:13">
      <c r="A66" s="129"/>
      <c r="B66" s="130"/>
      <c r="D66" s="81"/>
      <c r="E66" s="81"/>
      <c r="F66" s="84"/>
      <c r="G66" s="81"/>
      <c r="H66" s="81"/>
      <c r="I66" s="81"/>
      <c r="J66" s="81"/>
      <c r="K66" s="81"/>
      <c r="L66" s="81"/>
      <c r="M66" s="81"/>
    </row>
    <row r="67" spans="1:13">
      <c r="A67" s="129"/>
      <c r="B67" s="130"/>
      <c r="D67" s="81"/>
      <c r="E67" s="81"/>
      <c r="F67" s="84"/>
      <c r="G67" s="81"/>
      <c r="H67" s="81"/>
      <c r="I67" s="81"/>
      <c r="J67" s="81"/>
      <c r="K67" s="81"/>
      <c r="L67" s="81"/>
      <c r="M67" s="81"/>
    </row>
    <row r="68" spans="1:13">
      <c r="A68" s="129"/>
      <c r="B68" s="130"/>
      <c r="D68" s="81"/>
      <c r="E68" s="81"/>
      <c r="F68" s="84"/>
      <c r="G68" s="81"/>
      <c r="H68" s="81"/>
      <c r="I68" s="81"/>
      <c r="J68" s="81"/>
      <c r="K68" s="81"/>
      <c r="L68" s="81"/>
      <c r="M68" s="81"/>
    </row>
    <row r="69" spans="1:13">
      <c r="A69" s="129"/>
      <c r="B69" s="130"/>
      <c r="D69" s="81"/>
      <c r="E69" s="81"/>
      <c r="F69" s="84"/>
      <c r="G69" s="81"/>
      <c r="H69" s="81"/>
      <c r="I69" s="81"/>
      <c r="J69" s="81"/>
      <c r="K69" s="81"/>
      <c r="L69" s="81"/>
      <c r="M69" s="81"/>
    </row>
    <row r="70" spans="1:13">
      <c r="A70" s="129"/>
      <c r="B70" s="130"/>
      <c r="D70" s="81"/>
      <c r="E70" s="81"/>
      <c r="F70" s="84"/>
      <c r="G70" s="81"/>
      <c r="H70" s="81"/>
      <c r="I70" s="81"/>
      <c r="J70" s="81"/>
      <c r="K70" s="81"/>
      <c r="L70" s="81"/>
      <c r="M70" s="81"/>
    </row>
    <row r="71" spans="1:13">
      <c r="A71" s="129"/>
      <c r="B71" s="130"/>
      <c r="D71" s="81"/>
      <c r="E71" s="81"/>
      <c r="F71" s="84"/>
      <c r="G71" s="81"/>
      <c r="H71" s="81"/>
      <c r="I71" s="81"/>
      <c r="J71" s="81"/>
      <c r="K71" s="81"/>
      <c r="L71" s="81"/>
      <c r="M71" s="81"/>
    </row>
    <row r="72" spans="1:13">
      <c r="A72" s="129"/>
      <c r="B72" s="130"/>
      <c r="D72" s="81"/>
      <c r="E72" s="81"/>
      <c r="F72" s="84"/>
      <c r="G72" s="81"/>
      <c r="H72" s="81"/>
      <c r="I72" s="81"/>
      <c r="J72" s="81"/>
      <c r="K72" s="81"/>
      <c r="L72" s="81"/>
      <c r="M72" s="81"/>
    </row>
    <row r="73" spans="1:13">
      <c r="A73" s="129"/>
      <c r="B73" s="130"/>
      <c r="D73" s="81"/>
      <c r="E73" s="81"/>
      <c r="F73" s="84"/>
      <c r="G73" s="81"/>
      <c r="H73" s="81"/>
      <c r="I73" s="81"/>
      <c r="J73" s="81"/>
      <c r="K73" s="81"/>
      <c r="L73" s="81"/>
      <c r="M73" s="81"/>
    </row>
    <row r="74" spans="1:13">
      <c r="A74" s="129"/>
      <c r="B74" s="130"/>
      <c r="D74" s="81"/>
      <c r="E74" s="81"/>
      <c r="F74" s="84"/>
      <c r="G74" s="81"/>
      <c r="H74" s="81"/>
      <c r="I74" s="81"/>
      <c r="J74" s="81"/>
      <c r="K74" s="81"/>
      <c r="L74" s="81"/>
      <c r="M74" s="81"/>
    </row>
    <row r="75" spans="1:13">
      <c r="A75" s="129"/>
      <c r="B75" s="130"/>
      <c r="D75" s="81"/>
      <c r="E75" s="81"/>
      <c r="F75" s="84"/>
      <c r="G75" s="81"/>
      <c r="H75" s="81"/>
      <c r="I75" s="81"/>
      <c r="J75" s="81"/>
      <c r="K75" s="81"/>
      <c r="L75" s="81"/>
      <c r="M75" s="81"/>
    </row>
    <row r="76" spans="1:13">
      <c r="A76" s="129"/>
      <c r="B76" s="130"/>
      <c r="D76" s="81"/>
      <c r="E76" s="81"/>
      <c r="F76" s="84"/>
      <c r="G76" s="81"/>
      <c r="H76" s="81"/>
      <c r="I76" s="81"/>
      <c r="J76" s="81"/>
      <c r="K76" s="81"/>
      <c r="L76" s="81"/>
      <c r="M76" s="81"/>
    </row>
    <row r="77" spans="1:13">
      <c r="A77" s="129"/>
      <c r="B77" s="130"/>
      <c r="D77" s="81"/>
      <c r="E77" s="81"/>
      <c r="F77" s="84"/>
      <c r="G77" s="81"/>
      <c r="H77" s="81"/>
      <c r="I77" s="81"/>
      <c r="J77" s="81"/>
      <c r="K77" s="81"/>
      <c r="L77" s="81"/>
      <c r="M77" s="81"/>
    </row>
    <row r="78" spans="1:13">
      <c r="A78" s="129"/>
      <c r="B78" s="130"/>
      <c r="D78" s="81"/>
      <c r="E78" s="81"/>
      <c r="F78" s="84"/>
      <c r="G78" s="81"/>
      <c r="H78" s="81"/>
      <c r="I78" s="81"/>
      <c r="J78" s="81"/>
      <c r="K78" s="81"/>
      <c r="L78" s="81"/>
      <c r="M78" s="81"/>
    </row>
    <row r="79" spans="1:13">
      <c r="A79" s="129"/>
      <c r="B79" s="130"/>
      <c r="D79" s="81"/>
      <c r="E79" s="81"/>
      <c r="F79" s="84"/>
      <c r="G79" s="81"/>
      <c r="H79" s="81"/>
      <c r="I79" s="81"/>
      <c r="J79" s="81"/>
      <c r="K79" s="81"/>
      <c r="L79" s="81"/>
      <c r="M79" s="81"/>
    </row>
    <row r="80" spans="1:13">
      <c r="A80" s="85" t="s">
        <v>288</v>
      </c>
      <c r="B80" s="85" t="s">
        <v>227</v>
      </c>
      <c r="C80" s="131"/>
      <c r="D80" s="131"/>
      <c r="E80" s="85" t="s">
        <v>289</v>
      </c>
      <c r="F80" s="131"/>
      <c r="G80" s="131"/>
      <c r="H80" s="85"/>
      <c r="I80" s="85"/>
      <c r="J80" s="85"/>
      <c r="K80" s="85"/>
      <c r="L80" s="85"/>
      <c r="M80" s="85"/>
    </row>
    <row r="81" spans="1:13">
      <c r="A81" s="88" t="str">
        <f>+'[2]ตาราง3 '!A49</f>
        <v>1.สำนักผู้อำนวยการ</v>
      </c>
      <c r="B81" s="132" t="str">
        <f>+'[2]ตาราง3 '!B49</f>
        <v>1.1. ควบคุม กำกับ ดูแลการบริหารงานให้เป็นไปตามภาระกิจของโรงพยาบาล</v>
      </c>
      <c r="C81" s="133">
        <v>1500</v>
      </c>
      <c r="D81" s="134" t="s">
        <v>241</v>
      </c>
      <c r="E81" s="134"/>
      <c r="F81" s="135"/>
      <c r="G81" s="134"/>
      <c r="H81" s="134"/>
      <c r="I81" s="134"/>
      <c r="J81" s="134"/>
      <c r="K81" s="134"/>
      <c r="L81" s="134"/>
      <c r="M81" s="134"/>
    </row>
    <row r="82" spans="1:13">
      <c r="A82" s="95" t="str">
        <f>+'[2]ตาราง3 '!A50</f>
        <v>2.ฝ่ายบริหารทั่วไป</v>
      </c>
      <c r="B82" s="136" t="str">
        <f>+'[2]ตาราง3 '!B50</f>
        <v>2.1. ตรวจสอบและกลั่นกรองเรื่องต่างๆ เพื่อเสนอผู้บังคับบัญชา สั่งการ</v>
      </c>
      <c r="C82" s="104">
        <v>36773</v>
      </c>
      <c r="D82" s="106" t="s">
        <v>238</v>
      </c>
      <c r="E82" s="106"/>
      <c r="F82" s="105"/>
      <c r="G82" s="106"/>
      <c r="H82" s="106"/>
      <c r="I82" s="106"/>
      <c r="J82" s="106"/>
      <c r="K82" s="106"/>
      <c r="L82" s="106"/>
      <c r="M82" s="106"/>
    </row>
    <row r="83" spans="1:13">
      <c r="A83" s="95" t="str">
        <f>+'[2]ตาราง3 '!A51</f>
        <v>3.งานธุรการ</v>
      </c>
      <c r="B83" s="136" t="str">
        <f>+'[2]ตาราง3 '!B51</f>
        <v>3.1. ร่างโต้ตอบหนังสือ ภายในหน่วยงานและ ภายนอกหน่วยงาน</v>
      </c>
      <c r="C83" s="104">
        <v>216</v>
      </c>
      <c r="D83" s="106" t="s">
        <v>238</v>
      </c>
      <c r="E83" s="106"/>
      <c r="F83" s="105"/>
      <c r="G83" s="106"/>
      <c r="H83" s="106"/>
      <c r="I83" s="106"/>
      <c r="J83" s="106"/>
      <c r="K83" s="106"/>
      <c r="L83" s="106"/>
      <c r="M83" s="106"/>
    </row>
    <row r="84" spans="1:13">
      <c r="A84" s="95"/>
      <c r="B84" s="136" t="str">
        <f>+'[2]ตาราง3 '!B52</f>
        <v>3.2.  รับ  ส่งจดหมาย พัสดุ ไปรษณีย์ของทางราชการ</v>
      </c>
      <c r="C84" s="104">
        <v>7496</v>
      </c>
      <c r="D84" s="106" t="s">
        <v>290</v>
      </c>
      <c r="E84" s="106"/>
      <c r="F84" s="105"/>
      <c r="G84" s="106"/>
      <c r="H84" s="106"/>
      <c r="I84" s="106"/>
      <c r="J84" s="106"/>
      <c r="K84" s="106"/>
      <c r="L84" s="106"/>
      <c r="M84" s="106"/>
    </row>
    <row r="85" spans="1:13">
      <c r="A85" s="95" t="str">
        <f>+'[2]ตาราง3 '!A53</f>
        <v>4.งานยานพาหนะ</v>
      </c>
      <c r="B85" s="136" t="str">
        <f>+'[2]ตาราง3 '!B53</f>
        <v>4.1. ให้บริการเจ้าหน้าที่ภายในจังหวัด</v>
      </c>
      <c r="C85" s="104">
        <v>1990</v>
      </c>
      <c r="D85" s="106" t="s">
        <v>241</v>
      </c>
      <c r="E85" s="106"/>
      <c r="F85" s="105"/>
      <c r="G85" s="106"/>
      <c r="H85" s="106"/>
      <c r="I85" s="106"/>
      <c r="J85" s="106"/>
      <c r="K85" s="106"/>
      <c r="L85" s="106"/>
      <c r="M85" s="106"/>
    </row>
    <row r="86" spans="1:13">
      <c r="A86" s="95"/>
      <c r="B86" s="136" t="str">
        <f>+'[2]ตาราง3 '!B54</f>
        <v>4.2. ให้บริการเจ้าหน้าที่ต่างจังหวัด</v>
      </c>
      <c r="C86" s="104">
        <v>115</v>
      </c>
      <c r="D86" s="106" t="s">
        <v>241</v>
      </c>
      <c r="E86" s="106"/>
      <c r="F86" s="105"/>
      <c r="G86" s="106"/>
      <c r="H86" s="106"/>
      <c r="I86" s="106"/>
      <c r="J86" s="106"/>
      <c r="K86" s="106"/>
      <c r="L86" s="106"/>
      <c r="M86" s="106"/>
    </row>
    <row r="87" spans="1:13">
      <c r="A87" s="95" t="str">
        <f>+'[2]ตาราง3 '!A55</f>
        <v>5.งานวิศวกรรมบริการ</v>
      </c>
      <c r="B87" s="136" t="str">
        <f>+'[2]ตาราง3 '!B55</f>
        <v>5.1.  ดูแล บำรุงรักษาเครื่องมือทางการแพทย์ต่างๆ</v>
      </c>
      <c r="C87" s="104">
        <f>120+21</f>
        <v>141</v>
      </c>
      <c r="D87" s="106" t="s">
        <v>291</v>
      </c>
      <c r="E87" s="106"/>
      <c r="F87" s="105"/>
      <c r="G87" s="106"/>
      <c r="H87" s="106"/>
      <c r="I87" s="106"/>
      <c r="J87" s="106"/>
      <c r="K87" s="106"/>
      <c r="L87" s="106"/>
      <c r="M87" s="106"/>
    </row>
    <row r="88" spans="1:13">
      <c r="A88" s="95" t="s">
        <v>496</v>
      </c>
      <c r="B88" s="136" t="str">
        <f>+'[2]ตาราง3 '!B56</f>
        <v>6.1. จำนวนรายการเอกสารเบิกจ่ายเงินในระบบ GFMIS</v>
      </c>
      <c r="C88" s="104">
        <v>3707</v>
      </c>
      <c r="D88" s="106" t="s">
        <v>290</v>
      </c>
      <c r="E88" s="106"/>
      <c r="F88" s="105"/>
      <c r="G88" s="106"/>
      <c r="H88" s="106"/>
      <c r="I88" s="106"/>
      <c r="J88" s="106"/>
      <c r="K88" s="106"/>
      <c r="L88" s="106"/>
      <c r="M88" s="106"/>
    </row>
    <row r="89" spans="1:13">
      <c r="A89" s="95" t="s">
        <v>526</v>
      </c>
      <c r="B89" s="136" t="str">
        <f>+'[2]ตาราง3 '!B57</f>
        <v>7.1. จำนวนครั้งของการจัดซื้อในระบบ GFMIS</v>
      </c>
      <c r="C89" s="104">
        <f>224+8659</f>
        <v>8883</v>
      </c>
      <c r="D89" s="106" t="s">
        <v>241</v>
      </c>
      <c r="E89" s="106"/>
      <c r="F89" s="105"/>
      <c r="G89" s="106"/>
      <c r="H89" s="106"/>
      <c r="I89" s="106"/>
      <c r="J89" s="106"/>
      <c r="K89" s="106"/>
      <c r="L89" s="106"/>
      <c r="M89" s="106"/>
    </row>
    <row r="90" spans="1:13">
      <c r="A90" s="95" t="s">
        <v>527</v>
      </c>
      <c r="B90" s="136" t="str">
        <f>+'[2]ตาราง3 '!B58</f>
        <v>8.1. จัดทำแผนเงินงบประมาณ/เงินบำรุง</v>
      </c>
      <c r="C90" s="104">
        <v>4</v>
      </c>
      <c r="D90" s="106" t="s">
        <v>292</v>
      </c>
      <c r="E90" s="106"/>
      <c r="F90" s="105"/>
      <c r="G90" s="106"/>
      <c r="H90" s="106"/>
      <c r="I90" s="106"/>
      <c r="J90" s="106"/>
      <c r="K90" s="106"/>
      <c r="L90" s="106"/>
      <c r="M90" s="106"/>
    </row>
    <row r="91" spans="1:13">
      <c r="A91" s="95"/>
      <c r="B91" s="136" t="str">
        <f>+'[2]ตาราง3 '!B59</f>
        <v>8.2. ตรวจสอบและรายงานผลการดำเนินงาน</v>
      </c>
      <c r="C91" s="137">
        <v>12</v>
      </c>
      <c r="D91" s="106" t="s">
        <v>241</v>
      </c>
      <c r="E91" s="106"/>
      <c r="F91" s="105"/>
      <c r="G91" s="106"/>
      <c r="H91" s="106"/>
      <c r="I91" s="106"/>
      <c r="J91" s="106"/>
      <c r="K91" s="106"/>
      <c r="L91" s="106"/>
      <c r="M91" s="106"/>
    </row>
    <row r="92" spans="1:13">
      <c r="A92" s="95" t="s">
        <v>1537</v>
      </c>
      <c r="B92" s="136" t="str">
        <f>+'[2]ตาราง3 '!B60</f>
        <v>9.1. ประสานสิทธิและส่งต่อผู้ป่วย</v>
      </c>
      <c r="C92" s="104">
        <v>1274</v>
      </c>
      <c r="D92" s="106" t="s">
        <v>232</v>
      </c>
      <c r="E92" s="106"/>
      <c r="F92" s="105"/>
      <c r="G92" s="106"/>
      <c r="H92" s="106"/>
      <c r="I92" s="106"/>
      <c r="J92" s="106"/>
      <c r="K92" s="106"/>
      <c r="L92" s="106"/>
      <c r="M92" s="106"/>
    </row>
    <row r="93" spans="1:13">
      <c r="A93" s="95"/>
      <c r="B93" s="136" t="str">
        <f>+'[2]ตาราง3 '!B61</f>
        <v>9.2. ดำเนินการเรียกเก็บเงินค่ารักษาพยาบาลสิทธิทุกประเภท</v>
      </c>
      <c r="C93" s="104">
        <v>67365</v>
      </c>
      <c r="D93" s="106" t="s">
        <v>232</v>
      </c>
      <c r="E93" s="886"/>
      <c r="F93" s="105"/>
      <c r="G93" s="106"/>
      <c r="H93" s="106"/>
      <c r="I93" s="106"/>
      <c r="J93" s="106"/>
      <c r="K93" s="106"/>
      <c r="L93" s="106"/>
      <c r="M93" s="106"/>
    </row>
    <row r="94" spans="1:13">
      <c r="A94" s="95"/>
      <c r="B94" s="136" t="s">
        <v>1533</v>
      </c>
      <c r="C94" s="104">
        <v>28194</v>
      </c>
      <c r="D94" s="106" t="s">
        <v>232</v>
      </c>
      <c r="E94" s="886"/>
      <c r="F94" s="105"/>
      <c r="G94" s="106"/>
      <c r="H94" s="106"/>
      <c r="I94" s="106"/>
      <c r="J94" s="106"/>
      <c r="K94" s="106"/>
      <c r="L94" s="106"/>
      <c r="M94" s="106"/>
    </row>
    <row r="95" spans="1:13">
      <c r="A95" s="95" t="s">
        <v>501</v>
      </c>
      <c r="B95" s="136" t="str">
        <f>+'[2]ตาราง3 '!B62</f>
        <v>10.1. จำนวนบุคคลากรเดินทางไปประชุม/สัมมนา</v>
      </c>
      <c r="C95" s="104">
        <v>187</v>
      </c>
      <c r="D95" s="106" t="s">
        <v>232</v>
      </c>
      <c r="E95" s="106"/>
      <c r="F95" s="105"/>
      <c r="G95" s="106"/>
      <c r="H95" s="106"/>
      <c r="I95" s="106"/>
      <c r="J95" s="106"/>
      <c r="K95" s="106"/>
      <c r="L95" s="106"/>
      <c r="M95" s="106"/>
    </row>
    <row r="96" spans="1:13">
      <c r="A96" s="95" t="s">
        <v>293</v>
      </c>
      <c r="B96" s="136" t="str">
        <f>+'[2]ตาราง3 '!B63</f>
        <v>11.1. ดำเนินการเกี่ยวกับการพัฒนาทรัพยากรบุคคลในหน่วยงาน</v>
      </c>
      <c r="C96" s="104">
        <v>8</v>
      </c>
      <c r="D96" s="106" t="s">
        <v>241</v>
      </c>
      <c r="E96" s="106"/>
      <c r="F96" s="105"/>
      <c r="G96" s="106"/>
      <c r="H96" s="106"/>
      <c r="I96" s="106"/>
      <c r="J96" s="106"/>
      <c r="K96" s="106"/>
      <c r="L96" s="106"/>
      <c r="M96" s="106"/>
    </row>
    <row r="97" spans="1:14">
      <c r="A97" s="95" t="s">
        <v>294</v>
      </c>
      <c r="B97" s="136" t="str">
        <f>+'[2]ตาราง3 '!B64</f>
        <v>12.1. ดำเนินการเกี่ยวกับการประเมินผลการปฏิบัติงานและสมรรถนะเพื่อการเลื่อนเงินเดือน</v>
      </c>
      <c r="C97" s="104">
        <v>2</v>
      </c>
      <c r="D97" s="106" t="s">
        <v>241</v>
      </c>
      <c r="E97" s="106"/>
      <c r="F97" s="105"/>
      <c r="G97" s="106"/>
      <c r="H97" s="106"/>
      <c r="I97" s="106"/>
      <c r="J97" s="106"/>
      <c r="K97" s="106"/>
      <c r="L97" s="106"/>
      <c r="M97" s="106"/>
    </row>
    <row r="98" spans="1:14">
      <c r="A98" s="95" t="str">
        <f>+'[2]ตาราง3 '!A65</f>
        <v>13.งานประชาสัมพันธ์</v>
      </c>
      <c r="B98" s="136" t="str">
        <f>+'[2]ตาราง3 '!B65</f>
        <v>13.1. บริการต้อนรับผู้ป่วยนอก</v>
      </c>
      <c r="C98" s="104">
        <v>49375</v>
      </c>
      <c r="D98" s="106" t="s">
        <v>232</v>
      </c>
      <c r="E98" s="106"/>
      <c r="F98" s="105"/>
      <c r="G98" s="106"/>
      <c r="H98" s="106"/>
      <c r="I98" s="106"/>
      <c r="J98" s="106"/>
      <c r="K98" s="106"/>
      <c r="L98" s="106"/>
      <c r="M98" s="106"/>
    </row>
    <row r="99" spans="1:14">
      <c r="A99" s="95" t="str">
        <f>+'[2]ตาราง3 '!A66</f>
        <v>14.งานเลขานุการ</v>
      </c>
      <c r="B99" s="136" t="str">
        <f>+'[2]ตาราง3 '!B66</f>
        <v>14.1. ตรวจสอบและกลั่นกรองหนังสือเพื่อเสนอผู้อำนวยการ</v>
      </c>
      <c r="C99" s="115">
        <v>35335</v>
      </c>
      <c r="D99" s="106" t="s">
        <v>238</v>
      </c>
      <c r="E99" s="106"/>
      <c r="F99" s="105"/>
      <c r="G99" s="106"/>
      <c r="H99" s="106"/>
      <c r="I99" s="106"/>
      <c r="J99" s="106"/>
      <c r="K99" s="106"/>
      <c r="L99" s="106"/>
      <c r="M99" s="106"/>
    </row>
    <row r="100" spans="1:14">
      <c r="A100" s="159" t="s">
        <v>1538</v>
      </c>
      <c r="B100" s="136" t="str">
        <f>+'[2]ตาราง3 '!B67</f>
        <v>15.1. ให้รหัสโรคตามบัญชีจำแนกโรคของผู้ป่วยนอก</v>
      </c>
      <c r="C100" s="97">
        <v>67049</v>
      </c>
      <c r="D100" s="106" t="s">
        <v>232</v>
      </c>
      <c r="E100" s="106"/>
      <c r="F100" s="105"/>
      <c r="G100" s="106"/>
      <c r="H100" s="106"/>
      <c r="I100" s="106"/>
      <c r="J100" s="106"/>
      <c r="K100" s="106"/>
      <c r="L100" s="106"/>
      <c r="M100" s="106"/>
    </row>
    <row r="101" spans="1:14">
      <c r="A101" s="95"/>
      <c r="B101" s="136" t="str">
        <f>+'[2]ตาราง3 '!B68</f>
        <v>15.2. ให้รหัสโรคตามบัญชีจำแนกโรคของผู้ป่วยใน</v>
      </c>
      <c r="C101" s="97">
        <v>2848</v>
      </c>
      <c r="D101" s="106" t="s">
        <v>232</v>
      </c>
      <c r="E101" s="106"/>
      <c r="F101" s="105"/>
      <c r="G101" s="106"/>
      <c r="H101" s="106"/>
      <c r="I101" s="106"/>
      <c r="J101" s="106"/>
      <c r="K101" s="106"/>
      <c r="L101" s="106"/>
      <c r="M101" s="106"/>
    </row>
    <row r="102" spans="1:14">
      <c r="A102" s="95" t="str">
        <f>+'[2]ตาราง3 '!A69</f>
        <v>16.งานเวชระเบียนและสถิติ</v>
      </c>
      <c r="B102" s="136" t="s">
        <v>1491</v>
      </c>
      <c r="C102" s="104">
        <v>32576</v>
      </c>
      <c r="D102" s="106" t="s">
        <v>232</v>
      </c>
      <c r="E102" s="106"/>
      <c r="F102" s="105"/>
      <c r="G102" s="106"/>
      <c r="H102" s="106"/>
      <c r="I102" s="106"/>
      <c r="J102" s="106"/>
      <c r="K102" s="106"/>
      <c r="L102" s="106"/>
      <c r="M102" s="106"/>
    </row>
    <row r="103" spans="1:14" s="921" customFormat="1">
      <c r="A103" s="916"/>
      <c r="B103" s="917" t="s">
        <v>1492</v>
      </c>
      <c r="C103" s="918">
        <v>0</v>
      </c>
      <c r="D103" s="919" t="s">
        <v>232</v>
      </c>
      <c r="E103" s="919"/>
      <c r="F103" s="920"/>
      <c r="G103" s="919"/>
      <c r="H103" s="919"/>
      <c r="I103" s="919"/>
      <c r="J103" s="919"/>
      <c r="K103" s="919"/>
      <c r="L103" s="919"/>
      <c r="M103" s="919"/>
      <c r="N103" s="921" t="s">
        <v>1552</v>
      </c>
    </row>
    <row r="104" spans="1:14">
      <c r="A104" s="95"/>
      <c r="B104" s="136" t="s">
        <v>1496</v>
      </c>
      <c r="C104" s="104">
        <v>266</v>
      </c>
      <c r="D104" s="106" t="s">
        <v>241</v>
      </c>
      <c r="E104" s="106"/>
      <c r="F104" s="105"/>
      <c r="G104" s="106"/>
      <c r="H104" s="106"/>
      <c r="I104" s="106"/>
      <c r="J104" s="106"/>
      <c r="K104" s="106"/>
      <c r="L104" s="106"/>
      <c r="M104" s="106"/>
    </row>
    <row r="105" spans="1:14">
      <c r="A105" s="95" t="str">
        <f>+'[2]ตาราง3 '!A72</f>
        <v>17.งานทะเบียนมะเร็ง</v>
      </c>
      <c r="B105" s="136" t="s">
        <v>1543</v>
      </c>
      <c r="C105" s="104">
        <f>2677+10243+800</f>
        <v>13720</v>
      </c>
      <c r="D105" s="106" t="s">
        <v>287</v>
      </c>
      <c r="E105" s="106"/>
      <c r="F105" s="105"/>
      <c r="G105" s="106"/>
      <c r="H105" s="106"/>
      <c r="I105" s="106"/>
      <c r="J105" s="106"/>
      <c r="K105" s="106"/>
      <c r="L105" s="106"/>
      <c r="M105" s="106"/>
    </row>
    <row r="106" spans="1:14">
      <c r="A106" s="95" t="s">
        <v>1498</v>
      </c>
      <c r="B106" s="136" t="s">
        <v>1544</v>
      </c>
      <c r="C106" s="104">
        <f>472+260</f>
        <v>732</v>
      </c>
      <c r="D106" s="106" t="s">
        <v>241</v>
      </c>
      <c r="E106" s="106"/>
      <c r="F106" s="105"/>
      <c r="G106" s="106"/>
      <c r="H106" s="106"/>
      <c r="I106" s="106"/>
      <c r="J106" s="106"/>
      <c r="K106" s="106"/>
      <c r="L106" s="106"/>
      <c r="M106" s="106"/>
    </row>
    <row r="107" spans="1:14">
      <c r="A107" s="95" t="s">
        <v>1535</v>
      </c>
      <c r="B107" s="136" t="s">
        <v>1545</v>
      </c>
      <c r="C107" s="104">
        <v>1140</v>
      </c>
      <c r="D107" s="106" t="s">
        <v>241</v>
      </c>
      <c r="E107" s="106"/>
      <c r="F107" s="105"/>
      <c r="G107" s="106"/>
      <c r="H107" s="106"/>
      <c r="I107" s="106"/>
      <c r="J107" s="106"/>
      <c r="K107" s="106"/>
      <c r="L107" s="106"/>
      <c r="M107" s="106"/>
    </row>
    <row r="108" spans="1:14">
      <c r="A108" s="95" t="s">
        <v>1499</v>
      </c>
      <c r="B108" s="136" t="s">
        <v>1539</v>
      </c>
      <c r="C108" s="104">
        <f>171+5+1753+19733</f>
        <v>21662</v>
      </c>
      <c r="D108" s="106" t="s">
        <v>232</v>
      </c>
      <c r="E108" s="106"/>
      <c r="F108" s="105"/>
      <c r="G108" s="106"/>
      <c r="H108" s="106"/>
      <c r="I108" s="106"/>
      <c r="J108" s="106"/>
      <c r="K108" s="106"/>
      <c r="L108" s="106"/>
      <c r="M108" s="106"/>
    </row>
    <row r="109" spans="1:14">
      <c r="A109" s="95"/>
      <c r="B109" s="136" t="s">
        <v>1540</v>
      </c>
      <c r="C109" s="104">
        <v>2</v>
      </c>
      <c r="D109" s="106" t="s">
        <v>241</v>
      </c>
      <c r="E109" s="106"/>
      <c r="F109" s="105"/>
      <c r="G109" s="106"/>
      <c r="H109" s="106"/>
      <c r="I109" s="106"/>
      <c r="J109" s="106"/>
      <c r="K109" s="106"/>
      <c r="L109" s="106"/>
      <c r="M109" s="106"/>
    </row>
    <row r="110" spans="1:14">
      <c r="A110" s="95" t="s">
        <v>1500</v>
      </c>
      <c r="B110" s="136" t="s">
        <v>1541</v>
      </c>
      <c r="C110" s="104">
        <v>12</v>
      </c>
      <c r="D110" s="106" t="s">
        <v>241</v>
      </c>
      <c r="E110" s="106"/>
      <c r="F110" s="105"/>
      <c r="G110" s="106"/>
      <c r="H110" s="106"/>
      <c r="I110" s="106"/>
      <c r="J110" s="106"/>
      <c r="K110" s="106"/>
      <c r="L110" s="106"/>
      <c r="M110" s="106"/>
    </row>
    <row r="111" spans="1:14">
      <c r="A111" s="119" t="s">
        <v>1501</v>
      </c>
      <c r="B111" s="138" t="s">
        <v>1542</v>
      </c>
      <c r="C111" s="121">
        <v>12</v>
      </c>
      <c r="D111" s="122" t="s">
        <v>241</v>
      </c>
      <c r="E111" s="122"/>
      <c r="F111" s="123"/>
      <c r="G111" s="122"/>
      <c r="H111" s="122"/>
      <c r="I111" s="122"/>
      <c r="J111" s="122"/>
      <c r="K111" s="122"/>
      <c r="L111" s="122"/>
      <c r="M111" s="122"/>
    </row>
  </sheetData>
  <pageMargins left="0" right="0" top="0.47244094488188998" bottom="0.511811023622047" header="0.27559055118110198" footer="0.66929133858267698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V78"/>
  <sheetViews>
    <sheetView topLeftCell="B1" workbookViewId="0">
      <selection activeCell="M67" sqref="M67"/>
    </sheetView>
  </sheetViews>
  <sheetFormatPr defaultRowHeight="21.75"/>
  <cols>
    <col min="1" max="1" width="36.42578125" style="834" customWidth="1"/>
    <col min="2" max="2" width="16.42578125" style="834" customWidth="1"/>
    <col min="3" max="3" width="16.42578125" style="874" customWidth="1"/>
    <col min="4" max="4" width="16.42578125" style="834" customWidth="1"/>
    <col min="5" max="5" width="16.42578125" style="875" customWidth="1"/>
    <col min="6" max="6" width="16.42578125" style="870" customWidth="1"/>
    <col min="7" max="7" width="17.85546875" style="834" customWidth="1"/>
    <col min="8" max="8" width="14.5703125" style="834" bestFit="1" customWidth="1"/>
    <col min="9" max="9" width="16.7109375" style="834" customWidth="1"/>
    <col min="10" max="11" width="18.5703125" style="834" customWidth="1"/>
    <col min="12" max="12" width="16" style="834" customWidth="1"/>
    <col min="13" max="13" width="15.7109375" style="834" customWidth="1"/>
    <col min="14" max="14" width="17.28515625" style="834" customWidth="1"/>
    <col min="15" max="15" width="16.7109375" style="834" bestFit="1" customWidth="1"/>
    <col min="16" max="16" width="14.85546875" style="834" bestFit="1" customWidth="1"/>
    <col min="17" max="16384" width="9.140625" style="834"/>
  </cols>
  <sheetData>
    <row r="1" spans="1:15">
      <c r="A1" s="951" t="s">
        <v>295</v>
      </c>
      <c r="B1" s="951"/>
      <c r="C1" s="951"/>
      <c r="D1" s="951"/>
      <c r="E1" s="951"/>
      <c r="F1" s="951"/>
      <c r="G1" s="951"/>
      <c r="H1" s="951"/>
      <c r="I1" s="951"/>
      <c r="J1" s="951"/>
      <c r="K1" s="951"/>
      <c r="L1" s="951"/>
      <c r="M1" s="951"/>
      <c r="N1" s="951"/>
      <c r="O1" s="951"/>
    </row>
    <row r="2" spans="1:15">
      <c r="A2" s="952" t="s">
        <v>213</v>
      </c>
      <c r="B2" s="955" t="s">
        <v>296</v>
      </c>
      <c r="C2" s="955"/>
      <c r="D2" s="955"/>
      <c r="E2" s="955"/>
      <c r="F2" s="955"/>
      <c r="G2" s="956" t="s">
        <v>297</v>
      </c>
      <c r="H2" s="956"/>
      <c r="I2" s="956"/>
      <c r="J2" s="956"/>
      <c r="K2" s="956"/>
      <c r="L2" s="956"/>
      <c r="M2" s="956"/>
      <c r="N2" s="835"/>
      <c r="O2" s="957" t="s">
        <v>298</v>
      </c>
    </row>
    <row r="3" spans="1:15">
      <c r="A3" s="953"/>
      <c r="B3" s="837" t="s">
        <v>299</v>
      </c>
      <c r="C3" s="838" t="s">
        <v>300</v>
      </c>
      <c r="D3" s="837" t="s">
        <v>299</v>
      </c>
      <c r="E3" s="839" t="s">
        <v>301</v>
      </c>
      <c r="F3" s="836" t="s">
        <v>1</v>
      </c>
      <c r="G3" s="837" t="s">
        <v>302</v>
      </c>
      <c r="H3" s="836" t="s">
        <v>15</v>
      </c>
      <c r="I3" s="836" t="s">
        <v>17</v>
      </c>
      <c r="J3" s="837" t="s">
        <v>303</v>
      </c>
      <c r="K3" s="837" t="s">
        <v>303</v>
      </c>
      <c r="L3" s="837" t="s">
        <v>304</v>
      </c>
      <c r="M3" s="836" t="s">
        <v>305</v>
      </c>
      <c r="N3" s="957" t="s">
        <v>1</v>
      </c>
      <c r="O3" s="958"/>
    </row>
    <row r="4" spans="1:15">
      <c r="A4" s="954"/>
      <c r="B4" s="840" t="s">
        <v>306</v>
      </c>
      <c r="C4" s="841" t="s">
        <v>307</v>
      </c>
      <c r="D4" s="840" t="s">
        <v>308</v>
      </c>
      <c r="E4" s="842" t="s">
        <v>309</v>
      </c>
      <c r="F4" s="843"/>
      <c r="G4" s="840" t="s">
        <v>310</v>
      </c>
      <c r="H4" s="844"/>
      <c r="I4" s="844"/>
      <c r="J4" s="840" t="s">
        <v>311</v>
      </c>
      <c r="K4" s="840" t="s">
        <v>311</v>
      </c>
      <c r="L4" s="840" t="s">
        <v>125</v>
      </c>
      <c r="M4" s="844"/>
      <c r="N4" s="959"/>
      <c r="O4" s="959"/>
    </row>
    <row r="5" spans="1:15">
      <c r="A5" s="683" t="s">
        <v>226</v>
      </c>
      <c r="B5" s="845"/>
      <c r="C5" s="846"/>
      <c r="D5" s="845"/>
      <c r="E5" s="847"/>
      <c r="F5" s="848"/>
      <c r="G5" s="845"/>
      <c r="H5" s="845"/>
      <c r="I5" s="845"/>
      <c r="J5" s="845"/>
      <c r="K5" s="845"/>
      <c r="L5" s="845"/>
      <c r="M5" s="845"/>
      <c r="N5" s="845"/>
      <c r="O5" s="849"/>
    </row>
    <row r="6" spans="1:15">
      <c r="A6" s="690" t="s">
        <v>312</v>
      </c>
      <c r="B6" s="733">
        <f>'ปันส่วนเงินงบประมาณ 2'!C6+ปันส่วนเงินนอกงบประมาณ!C7</f>
        <v>1685688.97</v>
      </c>
      <c r="C6" s="733">
        <f>'ปันส่วนเงินงบประมาณ 2'!D6+ปันส่วนเงินนอกงบประมาณ!D7</f>
        <v>7634.45</v>
      </c>
      <c r="D6" s="733">
        <f>'ปันส่วนเงินงบประมาณ 2'!E6+ปันส่วนเงินนอกงบประมาณ!E7</f>
        <v>6281.06</v>
      </c>
      <c r="E6" s="733">
        <f>ปันส่วนเงินนอกงบประมาณ!M7</f>
        <v>33362.409277456645</v>
      </c>
      <c r="F6" s="850">
        <f t="shared" ref="F6:F33" si="0">SUM(B6:E6)</f>
        <v>1732966.8892774566</v>
      </c>
      <c r="G6" s="733">
        <f>'ปันส่วนเงินงบประมาณ 2'!F6+ปันส่วนเงินนอกงบประมาณ!F7</f>
        <v>448329.38439306361</v>
      </c>
      <c r="H6" s="733">
        <f>'ปันส่วนเงินงบประมาณ 2'!G6+ปันส่วนเงินนอกงบประมาณ!G7</f>
        <v>30051.494768786128</v>
      </c>
      <c r="I6" s="733">
        <f>'ปันส่วนเงินงบประมาณ 2'!H6+ปันส่วนเงินนอกงบประมาณ!H7</f>
        <v>100642.35346820809</v>
      </c>
      <c r="J6" s="733">
        <f>'ปันส่วนเงินงบประมาณ 2'!I6+ปันส่วนเงินนอกงบประมาณ!I7</f>
        <v>242624.17598265896</v>
      </c>
      <c r="K6" s="733">
        <f>ปันส่วนเงินนอกงบประมาณ!N7</f>
        <v>306.27127167630056</v>
      </c>
      <c r="L6" s="733">
        <f>ปันส่วนเงินนอกงบประมาณ!J7</f>
        <v>2793.184971098266</v>
      </c>
      <c r="M6" s="733">
        <f>'ปันส่วนเงินงบประมาณ 2'!J6+ปันส่วนเงินนอกงบประมาณ!K7</f>
        <v>41.277456647398829</v>
      </c>
      <c r="N6" s="850">
        <f>SUM(G6:M6)</f>
        <v>824788.14231213881</v>
      </c>
      <c r="O6" s="850">
        <f>+F6+N6</f>
        <v>2557755.0315895956</v>
      </c>
    </row>
    <row r="7" spans="1:15">
      <c r="A7" s="690" t="s">
        <v>313</v>
      </c>
      <c r="B7" s="733">
        <f>'ปันส่วนเงินงบประมาณ 2'!C7+ปันส่วนเงินนอกงบประมาณ!C8</f>
        <v>2366428.9699999997</v>
      </c>
      <c r="C7" s="733">
        <f>'ปันส่วนเงินงบประมาณ 2'!D7+ปันส่วนเงินนอกงบประมาณ!D8</f>
        <v>263999.67000000004</v>
      </c>
      <c r="D7" s="733">
        <f>'ปันส่วนเงินงบประมาณ 2'!E7+ปันส่วนเงินนอกงบประมาณ!E8</f>
        <v>9161.0600000000013</v>
      </c>
      <c r="E7" s="733">
        <f>ปันส่วนเงินนอกงบประมาณ!M8</f>
        <v>100087.22783236994</v>
      </c>
      <c r="F7" s="850">
        <f t="shared" si="0"/>
        <v>2739676.9278323697</v>
      </c>
      <c r="G7" s="733">
        <f>'ปันส่วนเงินงบประมาณ 2'!F7+ปันส่วนเงินนอกงบประมาณ!F8</f>
        <v>1344988.1531791908</v>
      </c>
      <c r="H7" s="733">
        <f>'ปันส่วนเงินงบประมาณ 2'!G7+ปันส่วนเงินนอกงบประมาณ!G8</f>
        <v>90154.484306358383</v>
      </c>
      <c r="I7" s="733">
        <f>'ปันส่วนเงินงบประมาณ 2'!H7+ปันส่วนเงินนอกงบประมาณ!H8</f>
        <v>301927.06040462427</v>
      </c>
      <c r="J7" s="733">
        <f>'ปันส่วนเงินงบประมาณ 2'!I7+ปันส่วนเงินนอกงบประมาณ!I8</f>
        <v>727872.52794797695</v>
      </c>
      <c r="K7" s="733">
        <f>ปันส่วนเงินนอกงบประมาณ!N8</f>
        <v>918.81381502890179</v>
      </c>
      <c r="L7" s="733">
        <f>ปันส่วนเงินนอกงบประมาณ!J8</f>
        <v>8379.5549132947981</v>
      </c>
      <c r="M7" s="733">
        <f>'ปันส่วนเงินงบประมาณ 2'!J7+ปันส่วนเงินนอกงบประมาณ!K8</f>
        <v>123.83236994219649</v>
      </c>
      <c r="N7" s="850">
        <f t="shared" ref="N7:N33" si="1">SUM(G7:M7)</f>
        <v>2474364.4269364169</v>
      </c>
      <c r="O7" s="850">
        <f t="shared" ref="O7:O33" si="2">+F7+N7</f>
        <v>5214041.3547687866</v>
      </c>
    </row>
    <row r="8" spans="1:15">
      <c r="A8" s="690" t="s">
        <v>314</v>
      </c>
      <c r="B8" s="733">
        <f>'ปันส่วนเงินงบประมาณ 2'!C8+ปันส่วนเงินนอกงบประมาณ!C9</f>
        <v>1501804.65</v>
      </c>
      <c r="C8" s="733">
        <f>'ปันส่วนเงินงบประมาณ 2'!D8+ปันส่วนเงินนอกงบประมาณ!D9</f>
        <v>208177.04000000004</v>
      </c>
      <c r="D8" s="733">
        <f>'ปันส่วนเงินงบประมาณ 2'!E8+ปันส่วนเงินนอกงบประมาณ!E9</f>
        <v>6281.06</v>
      </c>
      <c r="E8" s="733">
        <f>ปันส่วนเงินนอกงบประมาณ!M9</f>
        <v>33362.409277456645</v>
      </c>
      <c r="F8" s="850">
        <f t="shared" si="0"/>
        <v>1749625.1592774566</v>
      </c>
      <c r="G8" s="733">
        <f>'ปันส่วนเงินงบประมาณ 2'!F8+ปันส่วนเงินนอกงบประมาณ!F9</f>
        <v>448329.38439306361</v>
      </c>
      <c r="H8" s="733">
        <f>'ปันส่วนเงินงบประมาณ 2'!G8+ปันส่วนเงินนอกงบประมาณ!G9</f>
        <v>30051.494768786128</v>
      </c>
      <c r="I8" s="733">
        <f>'ปันส่วนเงินงบประมาณ 2'!H8+ปันส่วนเงินนอกงบประมาณ!H9</f>
        <v>100642.35346820809</v>
      </c>
      <c r="J8" s="733">
        <f>'ปันส่วนเงินงบประมาณ 2'!I8+ปันส่วนเงินนอกงบประมาณ!I9</f>
        <v>242624.17598265896</v>
      </c>
      <c r="K8" s="733">
        <f>ปันส่วนเงินนอกงบประมาณ!N9</f>
        <v>306.27127167630056</v>
      </c>
      <c r="L8" s="733">
        <f>ปันส่วนเงินนอกงบประมาณ!J9</f>
        <v>2793.184971098266</v>
      </c>
      <c r="M8" s="733">
        <f>'ปันส่วนเงินงบประมาณ 2'!J8+ปันส่วนเงินนอกงบประมาณ!K9</f>
        <v>41.277456647398829</v>
      </c>
      <c r="N8" s="850">
        <f t="shared" si="1"/>
        <v>824788.14231213881</v>
      </c>
      <c r="O8" s="850">
        <f t="shared" si="2"/>
        <v>2574413.3015895952</v>
      </c>
    </row>
    <row r="9" spans="1:15">
      <c r="A9" s="690" t="s">
        <v>315</v>
      </c>
      <c r="B9" s="733">
        <f>'ปันส่วนเงินงบประมาณ 2'!C9+ปันส่วนเงินนอกงบประมาณ!C10</f>
        <v>4796508.97</v>
      </c>
      <c r="C9" s="733">
        <f>'ปันส่วนเงินงบประมาณ 2'!D9+ปันส่วนเงินนอกงบประมาณ!D10</f>
        <v>324867.91000000003</v>
      </c>
      <c r="D9" s="733">
        <f>'ปันส่วนเงินงบประมาณ 2'!E9+ปันส่วนเงินนอกงบประมาณ!E10</f>
        <v>16943.060000000001</v>
      </c>
      <c r="E9" s="733">
        <f>ปันส่วนเงินนอกงบประมาณ!M10</f>
        <v>166812.04638728322</v>
      </c>
      <c r="F9" s="850">
        <f t="shared" si="0"/>
        <v>5305131.9863872826</v>
      </c>
      <c r="G9" s="733">
        <f>'ปันส่วนเงินงบประมาณ 2'!F9+ปันส่วนเงินนอกงบประมาณ!F10</f>
        <v>2241646.9219653178</v>
      </c>
      <c r="H9" s="733">
        <f>'ปันส่วนเงินงบประมาณ 2'!G9+ปันส่วนเงินนอกงบประมาณ!G10</f>
        <v>150257.47384393061</v>
      </c>
      <c r="I9" s="733">
        <f>'ปันส่วนเงินงบประมาณ 2'!H9+ปันส่วนเงินนอกงบประมาณ!H10</f>
        <v>503211.76734104048</v>
      </c>
      <c r="J9" s="733">
        <f>'ปันส่วนเงินงบประมาณ 2'!I9+ปันส่วนเงินนอกงบประมาณ!I10</f>
        <v>1213120.8799132947</v>
      </c>
      <c r="K9" s="733">
        <f>ปันส่วนเงินนอกงบประมาณ!N10</f>
        <v>1531.356358381503</v>
      </c>
      <c r="L9" s="733">
        <f>ปันส่วนเงินนอกงบประมาณ!J10</f>
        <v>13965.92485549133</v>
      </c>
      <c r="M9" s="733">
        <f>'ปันส่วนเงินงบประมาณ 2'!J9+ปันส่วนเงินนอกงบประมาณ!K10</f>
        <v>206.38728323699414</v>
      </c>
      <c r="N9" s="850">
        <f t="shared" si="1"/>
        <v>4123940.7115606936</v>
      </c>
      <c r="O9" s="850">
        <f t="shared" si="2"/>
        <v>9429072.6979479752</v>
      </c>
    </row>
    <row r="10" spans="1:15">
      <c r="A10" s="690" t="s">
        <v>316</v>
      </c>
      <c r="B10" s="733">
        <f>'ปันส่วนเงินงบประมาณ 2'!C10+ปันส่วนเงินนอกงบประมาณ!C11</f>
        <v>3993509.1399999997</v>
      </c>
      <c r="C10" s="733">
        <f>'ปันส่วนเงินงบประมาณ 2'!D10+ปันส่วนเงินนอกงบประมาณ!D11</f>
        <v>197656.46000000002</v>
      </c>
      <c r="D10" s="733">
        <f>'ปันส่วนเงินงบประมาณ 2'!E10+ปันส่วนเงินนอกงบประมาณ!E11</f>
        <v>11371.060000000001</v>
      </c>
      <c r="E10" s="733">
        <f>ปันส่วนเงินนอกงบประมาณ!M11</f>
        <v>100087.22783236994</v>
      </c>
      <c r="F10" s="850">
        <f t="shared" si="0"/>
        <v>4302623.8878323687</v>
      </c>
      <c r="G10" s="733">
        <f>'ปันส่วนเงินงบประมาณ 2'!F10+ปันส่วนเงินนอกงบประมาณ!F11</f>
        <v>1344988.1531791908</v>
      </c>
      <c r="H10" s="733">
        <f>'ปันส่วนเงินงบประมาณ 2'!G10+ปันส่วนเงินนอกงบประมาณ!G11</f>
        <v>90154.484306358383</v>
      </c>
      <c r="I10" s="733">
        <f>'ปันส่วนเงินงบประมาณ 2'!H10+ปันส่วนเงินนอกงบประมาณ!H11</f>
        <v>301927.06040462427</v>
      </c>
      <c r="J10" s="733">
        <f>'ปันส่วนเงินงบประมาณ 2'!I10+ปันส่วนเงินนอกงบประมาณ!I11</f>
        <v>727872.52794797695</v>
      </c>
      <c r="K10" s="733">
        <f>ปันส่วนเงินนอกงบประมาณ!N11</f>
        <v>918.81381502890179</v>
      </c>
      <c r="L10" s="733">
        <f>ปันส่วนเงินนอกงบประมาณ!J11</f>
        <v>8379.5549132947981</v>
      </c>
      <c r="M10" s="733">
        <f>'ปันส่วนเงินงบประมาณ 2'!J10+ปันส่วนเงินนอกงบประมาณ!K11</f>
        <v>123.83236994219649</v>
      </c>
      <c r="N10" s="850">
        <f t="shared" si="1"/>
        <v>2474364.4269364169</v>
      </c>
      <c r="O10" s="850">
        <f t="shared" si="2"/>
        <v>6776988.3147687856</v>
      </c>
    </row>
    <row r="11" spans="1:15">
      <c r="A11" s="690" t="s">
        <v>317</v>
      </c>
      <c r="B11" s="733">
        <f>'ปันส่วนเงินงบประมาณ 2'!C11+ปันส่วนเงินนอกงบประมาณ!C12</f>
        <v>0</v>
      </c>
      <c r="C11" s="733">
        <f>'ปันส่วนเงินงบประมาณ 2'!D11+ปันส่วนเงินนอกงบประมาณ!D12</f>
        <v>0</v>
      </c>
      <c r="D11" s="733">
        <f>'ปันส่วนเงินงบประมาณ 2'!E11+ปันส่วนเงินนอกงบประมาณ!E12</f>
        <v>0</v>
      </c>
      <c r="E11" s="733">
        <f>ปันส่วนเงินนอกงบประมาณ!M12</f>
        <v>0</v>
      </c>
      <c r="F11" s="850">
        <f t="shared" si="0"/>
        <v>0</v>
      </c>
      <c r="G11" s="733">
        <f>'ปันส่วนเงินงบประมาณ 2'!F11+ปันส่วนเงินนอกงบประมาณ!F12</f>
        <v>0</v>
      </c>
      <c r="H11" s="733">
        <f>'ปันส่วนเงินงบประมาณ 2'!G11+ปันส่วนเงินนอกงบประมาณ!G12</f>
        <v>0</v>
      </c>
      <c r="I11" s="733">
        <f>'ปันส่วนเงินงบประมาณ 2'!H11+ปันส่วนเงินนอกงบประมาณ!H12</f>
        <v>0</v>
      </c>
      <c r="J11" s="733">
        <f>'ปันส่วนเงินงบประมาณ 2'!I11+ปันส่วนเงินนอกงบประมาณ!I12</f>
        <v>0</v>
      </c>
      <c r="K11" s="733">
        <f>ปันส่วนเงินนอกงบประมาณ!N12</f>
        <v>0</v>
      </c>
      <c r="L11" s="733">
        <f>ปันส่วนเงินนอกงบประมาณ!J12</f>
        <v>0</v>
      </c>
      <c r="M11" s="733">
        <f>'ปันส่วนเงินงบประมาณ 2'!J11+ปันส่วนเงินนอกงบประมาณ!K12</f>
        <v>0</v>
      </c>
      <c r="N11" s="850">
        <f t="shared" si="1"/>
        <v>0</v>
      </c>
      <c r="O11" s="850">
        <f t="shared" si="2"/>
        <v>0</v>
      </c>
    </row>
    <row r="12" spans="1:15">
      <c r="A12" s="690" t="s">
        <v>318</v>
      </c>
      <c r="B12" s="733">
        <f>'ปันส่วนเงินงบประมาณ 2'!C12+ปันส่วนเงินนอกงบประมาณ!C13</f>
        <v>14052494.309999999</v>
      </c>
      <c r="C12" s="733">
        <f>'ปันส่วนเงินงบประมาณ 2'!D12+ปันส่วนเงินนอกงบประมาณ!D13</f>
        <v>348327.46</v>
      </c>
      <c r="D12" s="733">
        <f>'ปันส่วนเงินงบประมาณ 2'!E12+ปันส่วนเงินนอกงบประมาณ!E13</f>
        <v>20642.060000000001</v>
      </c>
      <c r="E12" s="733">
        <f>ปันส่วนเงินนอกงบประมาณ!M13</f>
        <v>834060.23193641624</v>
      </c>
      <c r="F12" s="850">
        <f t="shared" si="0"/>
        <v>15255524.061936416</v>
      </c>
      <c r="G12" s="733">
        <f>'ปันส่วนเงินงบประมาณ 2'!F12+ปันส่วนเงินนอกงบประมาณ!F13</f>
        <v>11208234.609826589</v>
      </c>
      <c r="H12" s="733">
        <f>'ปันส่วนเงินงบประมาณ 2'!G12+ปันส่วนเงินนอกงบประมาณ!G13</f>
        <v>751287.36921965308</v>
      </c>
      <c r="I12" s="733">
        <f>'ปันส่วนเงินงบประมาณ 2'!H12+ปันส่วนเงินนอกงบประมาณ!H13</f>
        <v>2516058.8367052018</v>
      </c>
      <c r="J12" s="733">
        <f>'ปันส่วนเงินงบประมาณ 2'!I12+ปันส่วนเงินนอกงบประมาณ!I13</f>
        <v>6065604.3995664734</v>
      </c>
      <c r="K12" s="733">
        <f>ปันส่วนเงินนอกงบประมาณ!N13</f>
        <v>7656.7817919075142</v>
      </c>
      <c r="L12" s="733">
        <f>ปันส่วนเงินนอกงบประมาณ!J13</f>
        <v>69829.624277456649</v>
      </c>
      <c r="M12" s="733">
        <f>'ปันส่วนเงินงบประมาณ 2'!J12+ปันส่วนเงินนอกงบประมาณ!K13</f>
        <v>1031.9364161849708</v>
      </c>
      <c r="N12" s="850">
        <f t="shared" si="1"/>
        <v>20619703.557803471</v>
      </c>
      <c r="O12" s="850">
        <f t="shared" si="2"/>
        <v>35875227.61973989</v>
      </c>
    </row>
    <row r="13" spans="1:15">
      <c r="A13" s="690" t="s">
        <v>319</v>
      </c>
      <c r="B13" s="733">
        <f>'ปันส่วนเงินงบประมาณ 2'!C13+ปันส่วนเงินนอกงบประมาณ!C14</f>
        <v>7577704.370000001</v>
      </c>
      <c r="C13" s="733">
        <f>'ปันส่วนเงินงบประมาณ 2'!D13+ปันส่วนเงินนอกงบประมาณ!D14</f>
        <v>175951.16000000003</v>
      </c>
      <c r="D13" s="733">
        <f>'ปันส่วนเงินงบประมาณ 2'!E13+ปันส่วนเงินนอกงบประมาณ!E14</f>
        <v>13486.720000000001</v>
      </c>
      <c r="E13" s="733">
        <f>ปันส่วนเงินนอกงบประมาณ!M14</f>
        <v>433711.32060693641</v>
      </c>
      <c r="F13" s="850">
        <f t="shared" si="0"/>
        <v>8200853.5706069376</v>
      </c>
      <c r="G13" s="733">
        <f>'ปันส่วนเงินงบประมาณ 2'!F13+ปันส่วนเงินนอกงบประมาณ!F14</f>
        <v>5828281.9971098267</v>
      </c>
      <c r="H13" s="733">
        <f>'ปันส่วนเงินงบประมาณ 2'!G13+ปันส่วนเงินนอกงบประมาณ!G14</f>
        <v>390669.43199421966</v>
      </c>
      <c r="I13" s="733">
        <f>'ปันส่วนเงินงบประมาณ 2'!H13+ปันส่วนเงินนอกงบประมาณ!H14</f>
        <v>1308350.5950867049</v>
      </c>
      <c r="J13" s="733">
        <f>'ปันส่วนเงินงบประมาณ 2'!I13+ปันส่วนเงินนอกงบประมาณ!I14</f>
        <v>3154114.2877745666</v>
      </c>
      <c r="K13" s="733">
        <f>ปันส่วนเงินนอกงบประมาณ!N14</f>
        <v>3981.5265317919075</v>
      </c>
      <c r="L13" s="733">
        <f>ปันส่วนเงินนอกงบประมาณ!J14</f>
        <v>36311.404624277457</v>
      </c>
      <c r="M13" s="733">
        <f>'ปันส่วนเงินงบประมาณ 2'!J13+ปันส่วนเงินนอกงบประมาณ!K14</f>
        <v>536.60693641618479</v>
      </c>
      <c r="N13" s="850">
        <f t="shared" si="1"/>
        <v>10722245.850057801</v>
      </c>
      <c r="O13" s="850">
        <f t="shared" si="2"/>
        <v>18923099.420664739</v>
      </c>
    </row>
    <row r="14" spans="1:15">
      <c r="A14" s="690" t="s">
        <v>320</v>
      </c>
      <c r="B14" s="733">
        <f>'ปันส่วนเงินงบประมาณ 2'!C14+ปันส่วนเงินนอกงบประมาณ!C15</f>
        <v>7087415.9799999995</v>
      </c>
      <c r="C14" s="733">
        <f>'ปันส่วนเงินงบประมาณ 2'!D14+ปันส่วนเงินนอกงบประมาณ!D15</f>
        <v>231798.46000000002</v>
      </c>
      <c r="D14" s="733">
        <f>'ปันส่วนเงินงบประมาณ 2'!E14+ปันส่วนเงินนอกงบประมาณ!E15</f>
        <v>16751.060000000001</v>
      </c>
      <c r="E14" s="733">
        <f>ปันส่วนเงินนอกงบประมาณ!M15</f>
        <v>300261.6834971098</v>
      </c>
      <c r="F14" s="850">
        <f t="shared" si="0"/>
        <v>7636227.1834971085</v>
      </c>
      <c r="G14" s="733">
        <f>'ปันส่วนเงินงบประมาณ 2'!F14+ปันส่วนเงินนอกงบประมาณ!F15</f>
        <v>4034964.4595375722</v>
      </c>
      <c r="H14" s="733">
        <f>'ปันส่วนเงินงบประมาณ 2'!G14+ปันส่วนเงินนอกงบประมาณ!G15</f>
        <v>270463.45291907515</v>
      </c>
      <c r="I14" s="733">
        <f>'ปันส่วนเงินงบประมาณ 2'!H14+ปันส่วนเงินนอกงบประมาณ!H15</f>
        <v>905781.18121387274</v>
      </c>
      <c r="J14" s="733">
        <f>'ปันส่วนเงินงบประมาณ 2'!I14+ปันส่วนเงินนอกงบประมาณ!I15</f>
        <v>2183617.5838439306</v>
      </c>
      <c r="K14" s="733">
        <f>ปันส่วนเงินนอกงบประมาณ!N15</f>
        <v>2756.4414450867052</v>
      </c>
      <c r="L14" s="733">
        <f>ปันส่วนเงินนอกงบประมาณ!J15</f>
        <v>25138.664739884392</v>
      </c>
      <c r="M14" s="733">
        <f>'ปันส่วนเงินงบประมาณ 2'!J14+ปันส่วนเงินนอกงบประมาณ!K15</f>
        <v>371.49710982658945</v>
      </c>
      <c r="N14" s="850">
        <f t="shared" si="1"/>
        <v>7423093.2808092488</v>
      </c>
      <c r="O14" s="850">
        <f t="shared" si="2"/>
        <v>15059320.464306358</v>
      </c>
    </row>
    <row r="15" spans="1:15">
      <c r="A15" s="690" t="s">
        <v>321</v>
      </c>
      <c r="B15" s="733">
        <f>'ปันส่วนเงินงบประมาณ 2'!C15+ปันส่วนเงินนอกงบประมาณ!C16</f>
        <v>1388654.0699999998</v>
      </c>
      <c r="C15" s="733">
        <f>'ปันส่วนเงินงบประมาณ 2'!D15+ปันส่วนเงินนอกงบประมาณ!D16</f>
        <v>7634.45</v>
      </c>
      <c r="D15" s="733">
        <f>'ปันส่วนเงินงบประมาณ 2'!E15+ปันส่วนเงินนอกงบประมาณ!E16</f>
        <v>6521.06</v>
      </c>
      <c r="E15" s="733">
        <f>ปันส่วนเงินนอกงบประมาณ!M16</f>
        <v>200174.45566473989</v>
      </c>
      <c r="F15" s="850">
        <f t="shared" si="0"/>
        <v>1602984.0356647398</v>
      </c>
      <c r="G15" s="733">
        <f>'ปันส่วนเงินงบประมาณ 2'!F15+ปันส่วนเงินนอกงบประมาณ!F16</f>
        <v>2689976.3063583816</v>
      </c>
      <c r="H15" s="733">
        <f>'ปันส่วนเงินงบประมาณ 2'!G15+ปันส่วนเงินนอกงบประมาณ!G16</f>
        <v>180308.96861271677</v>
      </c>
      <c r="I15" s="733">
        <f>'ปันส่วนเงินงบประมาณ 2'!H15+ปันส่วนเงินนอกงบประมาณ!H16</f>
        <v>603854.12080924853</v>
      </c>
      <c r="J15" s="733">
        <f>'ปันส่วนเงินงบประมาณ 2'!I15+ปันส่วนเงินนอกงบประมาณ!I16</f>
        <v>1455745.0558959539</v>
      </c>
      <c r="K15" s="733">
        <f>ปันส่วนเงินนอกงบประมาณ!N16</f>
        <v>1837.6276300578036</v>
      </c>
      <c r="L15" s="733">
        <f>ปันส่วนเงินนอกงบประมาณ!J16</f>
        <v>16759.109826589596</v>
      </c>
      <c r="M15" s="733">
        <f>'ปันส่วนเงินงบประมาณ 2'!J15+ปันส่วนเงินนอกงบประมาณ!K16</f>
        <v>247.66473988439299</v>
      </c>
      <c r="N15" s="850">
        <f t="shared" si="1"/>
        <v>4948728.8538728338</v>
      </c>
      <c r="O15" s="850">
        <f t="shared" si="2"/>
        <v>6551712.8895375738</v>
      </c>
    </row>
    <row r="16" spans="1:15">
      <c r="A16" s="690" t="s">
        <v>322</v>
      </c>
      <c r="B16" s="733">
        <f>'ปันส่วนเงินงบประมาณ 2'!C16+ปันส่วนเงินนอกงบประมาณ!C17</f>
        <v>1117879.08</v>
      </c>
      <c r="C16" s="733">
        <f>'ปันส่วนเงินงบประมาณ 2'!D16+ปันส่วนเงินนอกงบประมาณ!D17</f>
        <v>167501.46000000002</v>
      </c>
      <c r="D16" s="733">
        <f>'ปันส่วนเงินงบประมาณ 2'!E16+ปันส่วนเงินนอกงบประมาณ!E17</f>
        <v>23240.660000000003</v>
      </c>
      <c r="E16" s="733">
        <f>ปันส่วนเงินนอกงบประมาณ!M17</f>
        <v>133449.63710982658</v>
      </c>
      <c r="F16" s="850">
        <f t="shared" si="0"/>
        <v>1442070.8371098265</v>
      </c>
      <c r="G16" s="733">
        <f>'ปันส่วนเงินงบประมาณ 2'!F16+ปันส่วนเงินนอกงบประมาณ!F17</f>
        <v>1793317.5375722544</v>
      </c>
      <c r="H16" s="733">
        <f>'ปันส่วนเงินงบประมาณ 2'!G16+ปันส่วนเงินนอกงบประมาณ!G17</f>
        <v>120205.97907514451</v>
      </c>
      <c r="I16" s="733">
        <f>'ปันส่วนเงินงบประมาณ 2'!H16+ปันส่วนเงินนอกงบประมาณ!H17</f>
        <v>402569.41387283237</v>
      </c>
      <c r="J16" s="733">
        <f>'ปันส่วนเงินงบประมาณ 2'!I16+ปันส่วนเงินนอกงบประมาณ!I17</f>
        <v>970496.70393063582</v>
      </c>
      <c r="K16" s="733">
        <f>ปันส่วนเงินนอกงบประมาณ!N17</f>
        <v>1225.0850867052022</v>
      </c>
      <c r="L16" s="733">
        <f>ปันส่วนเงินนอกงบประมาณ!J17</f>
        <v>11172.739884393064</v>
      </c>
      <c r="M16" s="733">
        <f>'ปันส่วนเงินงบประมาณ 2'!J16+ปันส่วนเงินนอกงบประมาณ!K17</f>
        <v>165.10982658959531</v>
      </c>
      <c r="N16" s="850">
        <f t="shared" si="1"/>
        <v>3299152.5692485552</v>
      </c>
      <c r="O16" s="850">
        <f t="shared" si="2"/>
        <v>4741223.4063583817</v>
      </c>
    </row>
    <row r="17" spans="1:15">
      <c r="A17" s="690" t="s">
        <v>250</v>
      </c>
      <c r="B17" s="733">
        <f>'ปันส่วนเงินงบประมาณ 2'!C17+ปันส่วนเงินนอกงบประมาณ!C18</f>
        <v>1536578.39</v>
      </c>
      <c r="C17" s="733">
        <f>'ปันส่วนเงินงบประมาณ 2'!D17+ปันส่วนเงินนอกงบประมาณ!D18</f>
        <v>177901.93000000002</v>
      </c>
      <c r="D17" s="733">
        <f>'ปันส่วนเงินงบประมาณ 2'!E17+ปันส่วนเงินนอกงบประมาณ!E18</f>
        <v>6281.06</v>
      </c>
      <c r="E17" s="733">
        <f>ปันส่วนเงินนอกงบประมาณ!M18</f>
        <v>166812.04638728322</v>
      </c>
      <c r="F17" s="850">
        <f t="shared" si="0"/>
        <v>1887573.426387283</v>
      </c>
      <c r="G17" s="733">
        <f>'ปันส่วนเงินงบประมาณ 2'!F17+ปันส่วนเงินนอกงบประมาณ!F18</f>
        <v>2241646.9219653178</v>
      </c>
      <c r="H17" s="733">
        <f>'ปันส่วนเงินงบประมาณ 2'!G17+ปันส่วนเงินนอกงบประมาณ!G18</f>
        <v>150257.47384393061</v>
      </c>
      <c r="I17" s="733">
        <f>'ปันส่วนเงินงบประมาณ 2'!H17+ปันส่วนเงินนอกงบประมาณ!H18</f>
        <v>503211.76734104048</v>
      </c>
      <c r="J17" s="733">
        <f>'ปันส่วนเงินงบประมาณ 2'!I17+ปันส่วนเงินนอกงบประมาณ!I18</f>
        <v>1213120.8799132947</v>
      </c>
      <c r="K17" s="733">
        <f>ปันส่วนเงินนอกงบประมาณ!N18</f>
        <v>1531.356358381503</v>
      </c>
      <c r="L17" s="733">
        <f>ปันส่วนเงินนอกงบประมาณ!J18</f>
        <v>13965.92485549133</v>
      </c>
      <c r="M17" s="733">
        <f>'ปันส่วนเงินงบประมาณ 2'!J17+ปันส่วนเงินนอกงบประมาณ!K18</f>
        <v>206.38728323699414</v>
      </c>
      <c r="N17" s="850">
        <f t="shared" si="1"/>
        <v>4123940.7115606936</v>
      </c>
      <c r="O17" s="850">
        <f t="shared" si="2"/>
        <v>6011514.1379479766</v>
      </c>
    </row>
    <row r="18" spans="1:15">
      <c r="A18" s="690" t="s">
        <v>323</v>
      </c>
      <c r="B18" s="733">
        <f>'ปันส่วนเงินงบประมาณ 2'!C18+ปันส่วนเงินนอกงบประมาณ!C19</f>
        <v>10254601.109999999</v>
      </c>
      <c r="C18" s="733">
        <f>'ปันส่วนเงินงบประมาณ 2'!D18+ปันส่วนเงินนอกงบประมาณ!D19</f>
        <v>187909.46000000002</v>
      </c>
      <c r="D18" s="733">
        <f>'ปันส่วนเงินงบประมาณ 2'!E18+ปันส่วนเงินนอกงบประมาณ!E19</f>
        <v>9683.0600000000013</v>
      </c>
      <c r="E18" s="733">
        <f>ปันส่วนเงินนอกงบประมาณ!M19</f>
        <v>733973.00410404615</v>
      </c>
      <c r="F18" s="850">
        <f t="shared" si="0"/>
        <v>11186166.634104047</v>
      </c>
      <c r="G18" s="733">
        <f>'ปันส่วนเงินงบประมาณ 2'!F18+ปันส่วนเงินนอกงบประมาณ!F19</f>
        <v>9863246.4566473998</v>
      </c>
      <c r="H18" s="733">
        <f>'ปันส่วนเงินงบประมาณ 2'!G18+ปันส่วนเงินนอกงบประมาณ!G19</f>
        <v>661132.88491329469</v>
      </c>
      <c r="I18" s="733">
        <f>'ปันส่วนเงินงบประมาณ 2'!H18+ปันส่วนเงินนอกงบประมาณ!H19</f>
        <v>2214131.7763005779</v>
      </c>
      <c r="J18" s="733">
        <f>'ปันส่วนเงินงบประมาณ 2'!I18+ปันส่วนเงินนอกงบประมาณ!I19</f>
        <v>5337731.8716184972</v>
      </c>
      <c r="K18" s="733">
        <f>ปันส่วนเงินนอกงบประมาณ!N19</f>
        <v>6737.9679768786127</v>
      </c>
      <c r="L18" s="733">
        <f>ปันส่วนเงินนอกงบประมาณ!J19</f>
        <v>61450.069364161849</v>
      </c>
      <c r="M18" s="733">
        <f>'ปันส่วนเงินงบประมาณ 2'!J18+ปันส่วนเงินนอกงบประมาณ!K19</f>
        <v>908.1040462427743</v>
      </c>
      <c r="N18" s="850">
        <f t="shared" si="1"/>
        <v>18145339.130867053</v>
      </c>
      <c r="O18" s="850">
        <f t="shared" si="2"/>
        <v>29331505.7649711</v>
      </c>
    </row>
    <row r="19" spans="1:15">
      <c r="A19" s="690" t="s">
        <v>324</v>
      </c>
      <c r="B19" s="733">
        <f>'ปันส่วนเงินงบประมาณ 2'!C19+ปันส่วนเงินนอกงบประมาณ!C20</f>
        <v>1181887.22</v>
      </c>
      <c r="C19" s="733">
        <f>'ปันส่วนเงินงบประมาณ 2'!D19+ปันส่วนเงินนอกงบประมาณ!D20</f>
        <v>158451.46000000002</v>
      </c>
      <c r="D19" s="733">
        <f>'ปันส่วนเงินงบประมาณ 2'!E19+ปันส่วนเงินนอกงบประมาณ!E20</f>
        <v>6281.06</v>
      </c>
      <c r="E19" s="733">
        <f>ปันส่วนเงินนอกงบประมาณ!M20</f>
        <v>66724.81855491329</v>
      </c>
      <c r="F19" s="850">
        <f t="shared" si="0"/>
        <v>1413344.5585549134</v>
      </c>
      <c r="G19" s="733">
        <f>'ปันส่วนเงินงบประมาณ 2'!F19+ปันส่วนเงินนอกงบประมาณ!F20</f>
        <v>896658.76878612721</v>
      </c>
      <c r="H19" s="733">
        <f>'ปันส่วนเงินงบประมาณ 2'!G19+ปันส่วนเงินนอกงบประมาณ!G20</f>
        <v>60102.989537572255</v>
      </c>
      <c r="I19" s="733">
        <f>'ปันส่วนเงินงบประมาณ 2'!H19+ปันส่วนเงินนอกงบประมาณ!H20</f>
        <v>201284.70693641619</v>
      </c>
      <c r="J19" s="733">
        <f>'ปันส่วนเงินงบประมาณ 2'!I19+ปันส่วนเงินนอกงบประมาณ!I20</f>
        <v>485248.35196531791</v>
      </c>
      <c r="K19" s="733">
        <f>ปันส่วนเงินนอกงบประมาณ!N20</f>
        <v>612.54254335260111</v>
      </c>
      <c r="L19" s="733">
        <f>ปันส่วนเงินนอกงบประมาณ!J20</f>
        <v>5586.3699421965321</v>
      </c>
      <c r="M19" s="733">
        <f>'ปันส่วนเงินงบประมาณ 2'!J19+ปันส่วนเงินนอกงบประมาณ!K20</f>
        <v>82.554913294797657</v>
      </c>
      <c r="N19" s="850">
        <f t="shared" si="1"/>
        <v>1649576.2846242776</v>
      </c>
      <c r="O19" s="850">
        <f t="shared" si="2"/>
        <v>3062920.843179191</v>
      </c>
    </row>
    <row r="20" spans="1:15">
      <c r="A20" s="690" t="s">
        <v>259</v>
      </c>
      <c r="B20" s="733">
        <f>'ปันส่วนเงินงบประมาณ 2'!C20+ปันส่วนเงินนอกงบประมาณ!C21</f>
        <v>1515848.97</v>
      </c>
      <c r="C20" s="733">
        <f>'ปันส่วนเงินงบประมาณ 2'!D20+ปันส่วนเงินนอกงบประมาณ!D21</f>
        <v>162967.46000000002</v>
      </c>
      <c r="D20" s="733">
        <f>'ปันส่วนเงินงบประมาณ 2'!E20+ปันส่วนเงินนอกงบประมาณ!E21</f>
        <v>7467.06</v>
      </c>
      <c r="E20" s="733">
        <f>ปันส่วนเงินนอกงบประมาณ!M21</f>
        <v>133449.63710982658</v>
      </c>
      <c r="F20" s="850">
        <f t="shared" si="0"/>
        <v>1819733.1271098265</v>
      </c>
      <c r="G20" s="733">
        <f>'ปันส่วนเงินงบประมาณ 2'!F20+ปันส่วนเงินนอกงบประมาณ!F21</f>
        <v>1793317.5375722544</v>
      </c>
      <c r="H20" s="733">
        <f>'ปันส่วนเงินงบประมาณ 2'!G20+ปันส่วนเงินนอกงบประมาณ!G21</f>
        <v>120205.97907514451</v>
      </c>
      <c r="I20" s="733">
        <f>'ปันส่วนเงินงบประมาณ 2'!H20+ปันส่วนเงินนอกงบประมาณ!H21</f>
        <v>402569.41387283237</v>
      </c>
      <c r="J20" s="733">
        <f>'ปันส่วนเงินงบประมาณ 2'!I20+ปันส่วนเงินนอกงบประมาณ!I21</f>
        <v>970496.70393063582</v>
      </c>
      <c r="K20" s="733">
        <f>ปันส่วนเงินนอกงบประมาณ!N21</f>
        <v>1225.0850867052022</v>
      </c>
      <c r="L20" s="733">
        <f>ปันส่วนเงินนอกงบประมาณ!J21</f>
        <v>11172.739884393064</v>
      </c>
      <c r="M20" s="733">
        <f>'ปันส่วนเงินงบประมาณ 2'!J20+ปันส่วนเงินนอกงบประมาณ!K21</f>
        <v>165.10982658959531</v>
      </c>
      <c r="N20" s="850">
        <f t="shared" si="1"/>
        <v>3299152.5692485552</v>
      </c>
      <c r="O20" s="850">
        <f t="shared" si="2"/>
        <v>5118885.6963583818</v>
      </c>
    </row>
    <row r="21" spans="1:15">
      <c r="A21" s="690" t="s">
        <v>262</v>
      </c>
      <c r="B21" s="733">
        <f>'ปันส่วนเงินงบประมาณ 2'!C21+ปันส่วนเงินนอกงบประมาณ!C22</f>
        <v>4498319.74</v>
      </c>
      <c r="C21" s="733">
        <f>'ปันส่วนเงินงบประมาณ 2'!D21+ปันส่วนเงินนอกงบประมาณ!D22</f>
        <v>236129.46000000002</v>
      </c>
      <c r="D21" s="733">
        <f>'ปันส่วนเงินงบประมาณ 2'!E21+ปันส่วนเงินนอกงบประมาณ!E22</f>
        <v>9521.0600000000013</v>
      </c>
      <c r="E21" s="733">
        <f>ปันส่วนเงินนอกงบประมาณ!M22</f>
        <v>366986.50205202308</v>
      </c>
      <c r="F21" s="850">
        <f t="shared" si="0"/>
        <v>5110956.7620520229</v>
      </c>
      <c r="G21" s="733">
        <f>'ปันส่วนเงินงบประมาณ 2'!F21+ปันส่วนเงินนอกงบประมาณ!F22</f>
        <v>4931623.2283236999</v>
      </c>
      <c r="H21" s="733">
        <f>'ปันส่วนเงินงบประมาณ 2'!G21+ปันส่วนเงินนอกงบประมาณ!G22</f>
        <v>330566.44245664735</v>
      </c>
      <c r="I21" s="733">
        <f>'ปันส่วนเงินงบประมาณ 2'!H21+ปันส่วนเงินนอกงบประมาณ!H22</f>
        <v>1107065.888150289</v>
      </c>
      <c r="J21" s="733">
        <f>'ปันส่วนเงินงบประมาณ 2'!I21+ปันส่วนเงินนอกงบประมาณ!I22</f>
        <v>2668865.9358092486</v>
      </c>
      <c r="K21" s="733">
        <f>ปันส่วนเงินนอกงบประมาณ!N22</f>
        <v>3368.9839884393064</v>
      </c>
      <c r="L21" s="733">
        <f>ปันส่วนเงินนอกงบประมาณ!J22</f>
        <v>30725.034682080925</v>
      </c>
      <c r="M21" s="733">
        <f>'ปันส่วนเงินงบประมาณ 2'!J21+ปันส่วนเงินนอกงบประมาณ!K22</f>
        <v>454.05202312138715</v>
      </c>
      <c r="N21" s="850">
        <f t="shared" si="1"/>
        <v>9072669.5654335264</v>
      </c>
      <c r="O21" s="850">
        <f t="shared" si="2"/>
        <v>14183626.32748555</v>
      </c>
    </row>
    <row r="22" spans="1:15">
      <c r="A22" s="765" t="s">
        <v>325</v>
      </c>
      <c r="B22" s="733">
        <f>'ปันส่วนเงินงบประมาณ 2'!C22+ปันส่วนเงินนอกงบประมาณ!C23</f>
        <v>9710593.9600000009</v>
      </c>
      <c r="C22" s="733">
        <f>'ปันส่วนเงินงบประมาณ 2'!D22+ปันส่วนเงินนอกงบประมาณ!D23</f>
        <v>313341.46000000002</v>
      </c>
      <c r="D22" s="733">
        <f>'ปันส่วนเงินงบประมาณ 2'!E22+ปันส่วนเงินนอกงบประมาณ!E23</f>
        <v>17391.060000000001</v>
      </c>
      <c r="E22" s="733">
        <f>ปันส่วนเงินนอกงบประมาณ!M23</f>
        <v>1034234.687601156</v>
      </c>
      <c r="F22" s="850">
        <f t="shared" si="0"/>
        <v>11075561.167601159</v>
      </c>
      <c r="G22" s="733">
        <f>'ปันส่วนเงินงบประมาณ 2'!F22+ปันส่วนเงินนอกงบประมาณ!F23</f>
        <v>13898210.916184971</v>
      </c>
      <c r="H22" s="733">
        <f>'ปันส่วนเงินงบประมาณ 2'!G22+ปันส่วนเงินนอกงบประมาณ!G23</f>
        <v>931596.33783236984</v>
      </c>
      <c r="I22" s="733">
        <f>'ปันส่วนเงินงบประมาณ 2'!H22+ปันส่วนเงินนอกงบประมาณ!H23</f>
        <v>3119912.9575144504</v>
      </c>
      <c r="J22" s="733">
        <f>'ปันส่วนเงินงบประมาณ 2'!I22+ปันส่วนเงินนอกงบประมาณ!I23</f>
        <v>7521349.4554624278</v>
      </c>
      <c r="K22" s="733">
        <f>ปันส่วนเงินนอกงบประมาณ!N23</f>
        <v>9494.409421965318</v>
      </c>
      <c r="L22" s="733">
        <f>ปันส่วนเงินนอกงบประมาณ!J23</f>
        <v>86588.734104046249</v>
      </c>
      <c r="M22" s="733">
        <f>'ปันส่วนเงินงบประมาณ 2'!J22+ปันส่วนเงินนอกงบประมาณ!K23</f>
        <v>1279.6011560693637</v>
      </c>
      <c r="N22" s="850">
        <f t="shared" si="1"/>
        <v>25568432.411676303</v>
      </c>
      <c r="O22" s="850">
        <f t="shared" si="2"/>
        <v>36643993.579277463</v>
      </c>
    </row>
    <row r="23" spans="1:15">
      <c r="A23" s="765" t="s">
        <v>326</v>
      </c>
      <c r="B23" s="733">
        <f>'ปันส่วนเงินงบประมาณ 2'!C23+ปันส่วนเงินนอกงบประมาณ!C24</f>
        <v>15700577.73</v>
      </c>
      <c r="C23" s="733">
        <f>'ปันส่วนเงินงบประมาณ 2'!D23+ปันส่วนเงินนอกงบประมาณ!D24</f>
        <v>597610.93999999994</v>
      </c>
      <c r="D23" s="733">
        <f>'ปันส่วนเงินงบประมาณ 2'!E23+ปันส่วนเงินนอกงบประมาณ!E24</f>
        <v>6521.06</v>
      </c>
      <c r="E23" s="733">
        <f>ปันส่วนเงินนอกงบประมาณ!M24</f>
        <v>1434583.5989306357</v>
      </c>
      <c r="F23" s="850">
        <f t="shared" si="0"/>
        <v>17739293.328930635</v>
      </c>
      <c r="G23" s="733">
        <f>'ปันส่วนเงินงบประมาณ 2'!F23+ปันส่วนเงินนอกงบประมาณ!F24</f>
        <v>19278163.528901733</v>
      </c>
      <c r="H23" s="733">
        <f>'ปันส่วนเงินงบประมาณ 2'!G23+ปันส่วนเงินนอกงบประมาณ!G24</f>
        <v>1292214.2750578034</v>
      </c>
      <c r="I23" s="733">
        <f>'ปันส่วนเงินงบประมาณ 2'!H23+ปันส่วนเงินนอกงบประมาณ!H24</f>
        <v>4327621.1991329473</v>
      </c>
      <c r="J23" s="733">
        <f>'ปันส่วนเงินงบประมาณ 2'!I23+ปันส่วนเงินนอกงบประมาณ!I24</f>
        <v>10432839.567254335</v>
      </c>
      <c r="K23" s="733">
        <f>ปันส่วนเงินนอกงบประมาณ!N24</f>
        <v>13169.664682080926</v>
      </c>
      <c r="L23" s="733">
        <f>ปันส่วนเงินนอกงบประมาณ!J24</f>
        <v>120106.95375722543</v>
      </c>
      <c r="M23" s="733">
        <f>'ปันส่วนเงินงบประมาณ 2'!J23+ปันส่วนเงินนอกงบประมาณ!K24</f>
        <v>1774.9306358381496</v>
      </c>
      <c r="N23" s="850">
        <f t="shared" si="1"/>
        <v>35465890.119421966</v>
      </c>
      <c r="O23" s="850">
        <f t="shared" si="2"/>
        <v>53205183.448352605</v>
      </c>
    </row>
    <row r="24" spans="1:15">
      <c r="A24" s="765" t="s">
        <v>327</v>
      </c>
      <c r="B24" s="733">
        <f>'ปันส่วนเงินงบประมาณ 2'!C24+ปันส่วนเงินนอกงบประมาณ!C25</f>
        <v>6859361.4799999995</v>
      </c>
      <c r="C24" s="733">
        <f>'ปันส่วนเงินงบประมาณ 2'!D24+ปันส่วนเงินนอกงบประมาณ!D25</f>
        <v>293239.46000000002</v>
      </c>
      <c r="D24" s="733">
        <f>'ปันส่วนเงินงบประมาณ 2'!E24+ปันส่วนเงินนอกงบประมาณ!E25</f>
        <v>44650.06</v>
      </c>
      <c r="E24" s="733">
        <f>ปันส่วนเงินนอกงบประมาณ!M25</f>
        <v>166812.04638728322</v>
      </c>
      <c r="F24" s="850">
        <f t="shared" si="0"/>
        <v>7364063.0463872822</v>
      </c>
      <c r="G24" s="733">
        <f>'ปันส่วนเงินงบประมาณ 2'!F24+ปันส่วนเงินนอกงบประมาณ!F25</f>
        <v>2241646.9219653178</v>
      </c>
      <c r="H24" s="733">
        <f>'ปันส่วนเงินงบประมาณ 2'!G24+ปันส่วนเงินนอกงบประมาณ!G25</f>
        <v>150257.47384393061</v>
      </c>
      <c r="I24" s="733">
        <f>'ปันส่วนเงินงบประมาณ 2'!H24+ปันส่วนเงินนอกงบประมาณ!H25</f>
        <v>503211.76734104048</v>
      </c>
      <c r="J24" s="733">
        <f>'ปันส่วนเงินงบประมาณ 2'!I24+ปันส่วนเงินนอกงบประมาณ!I25</f>
        <v>1213120.8799132947</v>
      </c>
      <c r="K24" s="733">
        <f>ปันส่วนเงินนอกงบประมาณ!N25</f>
        <v>1531.356358381503</v>
      </c>
      <c r="L24" s="733">
        <f>ปันส่วนเงินนอกงบประมาณ!J25</f>
        <v>13965.92485549133</v>
      </c>
      <c r="M24" s="733">
        <f>'ปันส่วนเงินงบประมาณ 2'!J24+ปันส่วนเงินนอกงบประมาณ!K25</f>
        <v>206.38728323699414</v>
      </c>
      <c r="N24" s="850">
        <f t="shared" si="1"/>
        <v>4123940.7115606936</v>
      </c>
      <c r="O24" s="850">
        <f t="shared" si="2"/>
        <v>11488003.757947976</v>
      </c>
    </row>
    <row r="25" spans="1:15" ht="21.75" customHeight="1">
      <c r="A25" s="765" t="s">
        <v>328</v>
      </c>
      <c r="B25" s="733">
        <f>'ปันส่วนเงินงบประมาณ 2'!C25+ปันส่วนเงินนอกงบประมาณ!C26</f>
        <v>53328.97</v>
      </c>
      <c r="C25" s="733">
        <f>'ปันส่วนเงินงบประมาณ 2'!D25+ปันส่วนเงินนอกงบประมาณ!D26</f>
        <v>190931.46000000002</v>
      </c>
      <c r="D25" s="733">
        <f>'ปันส่วนเงินงบประมาณ 2'!E25+ปันส่วนเงินนอกงบประมาณ!E26</f>
        <v>6401.06</v>
      </c>
      <c r="E25" s="733">
        <f>ปันส่วนเงินนอกงบประมาณ!M26</f>
        <v>33362.409277456645</v>
      </c>
      <c r="F25" s="850">
        <f t="shared" si="0"/>
        <v>284023.89927745669</v>
      </c>
      <c r="G25" s="733">
        <f>'ปันส่วนเงินงบประมาณ 2'!F25+ปันส่วนเงินนอกงบประมาณ!F26</f>
        <v>448329.38439306361</v>
      </c>
      <c r="H25" s="733">
        <f>'ปันส่วนเงินงบประมาณ 2'!G25+ปันส่วนเงินนอกงบประมาณ!G26</f>
        <v>30051.494768786128</v>
      </c>
      <c r="I25" s="733">
        <f>'ปันส่วนเงินงบประมาณ 2'!H25+ปันส่วนเงินนอกงบประมาณ!H26</f>
        <v>100642.35346820809</v>
      </c>
      <c r="J25" s="733">
        <f>'ปันส่วนเงินงบประมาณ 2'!I25+ปันส่วนเงินนอกงบประมาณ!I26</f>
        <v>242624.17598265896</v>
      </c>
      <c r="K25" s="733">
        <f>ปันส่วนเงินนอกงบประมาณ!N26</f>
        <v>306.27127167630056</v>
      </c>
      <c r="L25" s="733">
        <f>ปันส่วนเงินนอกงบประมาณ!J26</f>
        <v>2793.184971098266</v>
      </c>
      <c r="M25" s="733">
        <f>'ปันส่วนเงินงบประมาณ 2'!J25+ปันส่วนเงินนอกงบประมาณ!K26</f>
        <v>41.277456647398829</v>
      </c>
      <c r="N25" s="850">
        <f t="shared" si="1"/>
        <v>824788.14231213881</v>
      </c>
      <c r="O25" s="850">
        <f t="shared" si="2"/>
        <v>1108812.0415895954</v>
      </c>
    </row>
    <row r="26" spans="1:15" ht="21" customHeight="1">
      <c r="A26" s="765" t="s">
        <v>329</v>
      </c>
      <c r="B26" s="733">
        <f>'ปันส่วนเงินงบประมาณ 2'!C26+ปันส่วนเงินนอกงบประมาณ!C27</f>
        <v>6104228.3299999991</v>
      </c>
      <c r="C26" s="733">
        <f>'ปันส่วนเงินงบประมาณ 2'!D26+ปันส่วนเงินนอกงบประมาณ!D27</f>
        <v>220939.46000000002</v>
      </c>
      <c r="D26" s="733">
        <f>'ปันส่วนเงินงบประมาณ 2'!E26+ปันส่วนเงินนอกงบประมาณ!E27</f>
        <v>6641.06</v>
      </c>
      <c r="E26" s="733">
        <f>ปันส่วนเงินนอกงบประมาณ!M27</f>
        <v>333624.09277456644</v>
      </c>
      <c r="F26" s="850">
        <f t="shared" si="0"/>
        <v>6665432.942774565</v>
      </c>
      <c r="G26" s="733">
        <f>'ปันส่วนเงินงบประมาณ 2'!F26+ปันส่วนเงินนอกงบประมาณ!F27</f>
        <v>4483293.8439306356</v>
      </c>
      <c r="H26" s="733">
        <f>'ปันส่วนเงินงบประมาณ 2'!G26+ปันส่วนเงินนอกงบประมาณ!G27</f>
        <v>300514.94768786122</v>
      </c>
      <c r="I26" s="733">
        <f>'ปันส่วนเงินงบประมาณ 2'!H26+ปันส่วนเงินนอกงบประมาณ!H27</f>
        <v>1006423.534682081</v>
      </c>
      <c r="J26" s="733">
        <f>'ปันส่วนเงินงบประมาณ 2'!I26+ปันส่วนเงินนอกงบประมาณ!I27</f>
        <v>2426241.7598265894</v>
      </c>
      <c r="K26" s="733">
        <f>ปันส่วนเงินนอกงบประมาณ!N27</f>
        <v>3062.712716763006</v>
      </c>
      <c r="L26" s="733">
        <f>ปันส่วนเงินนอกงบประมาณ!J27</f>
        <v>27931.84971098266</v>
      </c>
      <c r="M26" s="733">
        <f>'ปันส่วนเงินงบประมาณ 2'!J26+ปันส่วนเงินนอกงบประมาณ!K27</f>
        <v>412.77456647398827</v>
      </c>
      <c r="N26" s="850">
        <f t="shared" si="1"/>
        <v>8247881.4231213871</v>
      </c>
      <c r="O26" s="850">
        <f t="shared" si="2"/>
        <v>14913314.365895953</v>
      </c>
    </row>
    <row r="27" spans="1:15">
      <c r="A27" s="765" t="s">
        <v>330</v>
      </c>
      <c r="B27" s="733">
        <f>'ปันส่วนเงินงบประมาณ 2'!C27+ปันส่วนเงินนอกงบประมาณ!C28</f>
        <v>6585939.4399999995</v>
      </c>
      <c r="C27" s="733">
        <f>'ปันส่วนเงินงบประมาณ 2'!D27+ปันส่วนเงินนอกงบประมาณ!D28</f>
        <v>282988.86000000004</v>
      </c>
      <c r="D27" s="733">
        <f>'ปันส่วนเงินงบประมาณ 2'!E27+ปันส่วนเงินนอกงบประมาณ!E28</f>
        <v>11481.060000000001</v>
      </c>
      <c r="E27" s="733">
        <f>ปันส่วนเงินนอกงบประมาณ!M28</f>
        <v>533798.54843930632</v>
      </c>
      <c r="F27" s="850">
        <f t="shared" si="0"/>
        <v>7414207.9084393056</v>
      </c>
      <c r="G27" s="733">
        <f>'ปันส่วนเงินงบประมาณ 2'!F27+ปันส่วนเงินนอกงบประมาณ!F28</f>
        <v>7173270.1502890177</v>
      </c>
      <c r="H27" s="733">
        <f>'ปันส่วนเงินงบประมาณ 2'!G27+ปันส่วนเงินนอกงบประมาณ!G28</f>
        <v>480823.91630057804</v>
      </c>
      <c r="I27" s="733">
        <f>'ปันส่วนเงินงบประมาณ 2'!H27+ปันส่วนเงินนอกงบประมาณ!H28</f>
        <v>1610277.6554913295</v>
      </c>
      <c r="J27" s="733">
        <f>'ปันส่วนเงินงบประมาณ 2'!I27+ปันส่วนเงินนอกงบประมาณ!I28</f>
        <v>3881986.8157225433</v>
      </c>
      <c r="K27" s="733">
        <f>ปันส่วนเงินนอกงบประมาณ!N28</f>
        <v>4900.3403468208089</v>
      </c>
      <c r="L27" s="733">
        <f>ปันส่วนเงินนอกงบประมาณ!J28</f>
        <v>44690.959537572257</v>
      </c>
      <c r="M27" s="733">
        <f>'ปันส่วนเงินงบประมาณ 2'!J27+ปันส่วนเงินนอกงบประมาณ!K28</f>
        <v>660.43930635838126</v>
      </c>
      <c r="N27" s="850">
        <f t="shared" si="1"/>
        <v>13196610.276994221</v>
      </c>
      <c r="O27" s="850">
        <f t="shared" si="2"/>
        <v>20610818.185433526</v>
      </c>
    </row>
    <row r="28" spans="1:15">
      <c r="A28" s="765" t="s">
        <v>331</v>
      </c>
      <c r="B28" s="733">
        <f>'ปันส่วนเงินงบประมาณ 2'!C28+ปันส่วนเงินนอกงบประมาณ!C29</f>
        <v>2792064.97</v>
      </c>
      <c r="C28" s="733">
        <f>'ปันส่วนเงินงบประมาณ 2'!D28+ปันส่วนเงินนอกงบประมาณ!D29</f>
        <v>167999.46000000002</v>
      </c>
      <c r="D28" s="733">
        <f>'ปันส่วนเงินงบประมาณ 2'!E28+ปันส่วนเงินนอกงบประมาณ!E29</f>
        <v>6281.06</v>
      </c>
      <c r="E28" s="733">
        <f>ปันส่วนเงินนอกงบประมาณ!M29</f>
        <v>200174.45566473989</v>
      </c>
      <c r="F28" s="850">
        <f t="shared" si="0"/>
        <v>3166519.9456647402</v>
      </c>
      <c r="G28" s="733">
        <f>'ปันส่วนเงินงบประมาณ 2'!F28+ปันส่วนเงินนอกงบประมาณ!F29</f>
        <v>2689976.3063583816</v>
      </c>
      <c r="H28" s="733">
        <f>'ปันส่วนเงินงบประมาณ 2'!G28+ปันส่วนเงินนอกงบประมาณ!G29</f>
        <v>180308.96861271677</v>
      </c>
      <c r="I28" s="733">
        <f>'ปันส่วนเงินงบประมาณ 2'!H28+ปันส่วนเงินนอกงบประมาณ!H29</f>
        <v>603854.12080924853</v>
      </c>
      <c r="J28" s="733">
        <f>'ปันส่วนเงินงบประมาณ 2'!I28+ปันส่วนเงินนอกงบประมาณ!I29</f>
        <v>1455745.0558959539</v>
      </c>
      <c r="K28" s="733">
        <f>ปันส่วนเงินนอกงบประมาณ!N29</f>
        <v>1837.6276300578036</v>
      </c>
      <c r="L28" s="733">
        <f>ปันส่วนเงินนอกงบประมาณ!J29</f>
        <v>16759.109826589596</v>
      </c>
      <c r="M28" s="733">
        <f>'ปันส่วนเงินงบประมาณ 2'!J28+ปันส่วนเงินนอกงบประมาณ!K29</f>
        <v>247.66473988439299</v>
      </c>
      <c r="N28" s="850">
        <f t="shared" si="1"/>
        <v>4948728.8538728338</v>
      </c>
      <c r="O28" s="850">
        <f t="shared" si="2"/>
        <v>8115248.7995375739</v>
      </c>
    </row>
    <row r="29" spans="1:15">
      <c r="A29" s="765" t="s">
        <v>278</v>
      </c>
      <c r="B29" s="733">
        <f>'ปันส่วนเงินงบประมาณ 2'!C29+ปันส่วนเงินนอกงบประมาณ!C30</f>
        <v>3590389.98</v>
      </c>
      <c r="C29" s="733">
        <f>'ปันส่วนเงินงบประมาณ 2'!D29+ปันส่วนเงินนอกงบประมาณ!D30</f>
        <v>245621.46000000002</v>
      </c>
      <c r="D29" s="733">
        <f>'ปันส่วนเงินงบประมาณ 2'!E29+ปันส่วนเงินนอกงบประมาณ!E30</f>
        <v>6321.06</v>
      </c>
      <c r="E29" s="733">
        <f>ปันส่วนเงินนอกงบประมาณ!M30</f>
        <v>233536.86494219652</v>
      </c>
      <c r="F29" s="850">
        <f t="shared" si="0"/>
        <v>4075869.3649421968</v>
      </c>
      <c r="G29" s="733">
        <f>'ปันส่วนเงินงบประมาณ 2'!F29+ปันส่วนเงินนอกงบประมาณ!F30</f>
        <v>3138305.690751445</v>
      </c>
      <c r="H29" s="733">
        <f>'ปันส่วนเงินงบประมาณ 2'!G29+ปันส่วนเงินนอกงบประมาณ!G30</f>
        <v>210360.46338150289</v>
      </c>
      <c r="I29" s="733">
        <f>'ปันส่วนเงินงบประมาณ 2'!H29+ปันส่วนเงินนอกงบประมาณ!H30</f>
        <v>704496.47427745652</v>
      </c>
      <c r="J29" s="733">
        <f>'ปันส่วนเงินงบประมาณ 2'!I29+ปันส่วนเงินนอกงบประมาณ!I30</f>
        <v>1698369.2318786127</v>
      </c>
      <c r="K29" s="733">
        <f>ปันส่วนเงินนอกงบประมาณ!N30</f>
        <v>2143.8989017341041</v>
      </c>
      <c r="L29" s="733">
        <f>ปันส่วนเงินนอกงบประมาณ!J30</f>
        <v>19552.29479768786</v>
      </c>
      <c r="M29" s="733">
        <f>'ปันส่วนเงินงบประมาณ 2'!J29+ปันส่วนเงินนอกงบประมาณ!K30</f>
        <v>288.94219653179175</v>
      </c>
      <c r="N29" s="850">
        <f t="shared" si="1"/>
        <v>5773516.9961849712</v>
      </c>
      <c r="O29" s="850">
        <f t="shared" si="2"/>
        <v>9849386.3611271679</v>
      </c>
    </row>
    <row r="30" spans="1:15">
      <c r="A30" s="765" t="s">
        <v>332</v>
      </c>
      <c r="B30" s="733">
        <f>'ปันส่วนเงินงบประมาณ 2'!C30+ปันส่วนเงินนอกงบประมาณ!C31</f>
        <v>4245344.03</v>
      </c>
      <c r="C30" s="733">
        <f>'ปันส่วนเงินงบประมาณ 2'!D30+ปันส่วนเงินนอกงบประมาณ!D31</f>
        <v>286571.46000000002</v>
      </c>
      <c r="D30" s="733">
        <f>'ปันส่วนเงินงบประมาณ 2'!E30+ปันส่วนเงินนอกงบประมาณ!E31</f>
        <v>16291.060000000001</v>
      </c>
      <c r="E30" s="733">
        <f>ปันส่วนเงินนอกงบประมาณ!M31</f>
        <v>266899.27421965316</v>
      </c>
      <c r="F30" s="850">
        <f t="shared" si="0"/>
        <v>4815105.8242196534</v>
      </c>
      <c r="G30" s="733">
        <f>'ปันส่วนเงินงบประมาณ 2'!F30+ปันส่วนเงินนอกงบประมาณ!F31</f>
        <v>3586635.0751445089</v>
      </c>
      <c r="H30" s="733">
        <f>'ปันส่วนเงินงบประมาณ 2'!G30+ปันส่วนเงินนอกงบประมาณ!G31</f>
        <v>240411.95815028902</v>
      </c>
      <c r="I30" s="733">
        <f>'ปันส่วนเงินงบประมาณ 2'!H30+ปันส่วนเงินนอกงบประมาณ!H31</f>
        <v>805138.82774566475</v>
      </c>
      <c r="J30" s="733">
        <f>'ปันส่วนเงินงบประมาณ 2'!I30+ปันส่วนเงินนอกงบประมาณ!I31</f>
        <v>1940993.4078612716</v>
      </c>
      <c r="K30" s="733">
        <f>ปันส่วนเงินนอกงบประมาณ!N31</f>
        <v>2450.1701734104045</v>
      </c>
      <c r="L30" s="733">
        <f>ปันส่วนเงินนอกงบประมาณ!J31</f>
        <v>22345.479768786128</v>
      </c>
      <c r="M30" s="733">
        <f>'ปันส่วนเงินงบประมาณ 2'!J30+ปันส่วนเงินนอกงบประมาณ!K31</f>
        <v>330.21965317919063</v>
      </c>
      <c r="N30" s="850">
        <f t="shared" si="1"/>
        <v>6598305.1384971105</v>
      </c>
      <c r="O30" s="850">
        <f t="shared" si="2"/>
        <v>11413410.962716764</v>
      </c>
    </row>
    <row r="31" spans="1:15">
      <c r="A31" s="765" t="s">
        <v>282</v>
      </c>
      <c r="B31" s="733">
        <f>'ปันส่วนเงินงบประมาณ 2'!C31+ปันส่วนเงินนอกงบประมาณ!C32</f>
        <v>338748.97</v>
      </c>
      <c r="C31" s="733">
        <f>'ปันส่วนเงินงบประมาณ 2'!D31+ปันส่วนเงินนอกงบประมาณ!D32</f>
        <v>1262996.46</v>
      </c>
      <c r="D31" s="733">
        <f>'ปันส่วนเงินงบประมาณ 2'!E31+ปันส่วนเงินนอกงบประมาณ!E32</f>
        <v>6281.06</v>
      </c>
      <c r="E31" s="733">
        <f>ปันส่วนเงินนอกงบประมาณ!M32</f>
        <v>66724.81855491329</v>
      </c>
      <c r="F31" s="850">
        <f t="shared" si="0"/>
        <v>1674751.3085549134</v>
      </c>
      <c r="G31" s="733">
        <f>'ปันส่วนเงินงบประมาณ 2'!F31+ปันส่วนเงินนอกงบประมาณ!F32</f>
        <v>896658.76878612721</v>
      </c>
      <c r="H31" s="733">
        <f>'ปันส่วนเงินงบประมาณ 2'!G31+ปันส่วนเงินนอกงบประมาณ!G32</f>
        <v>60102.989537572255</v>
      </c>
      <c r="I31" s="733">
        <f>'ปันส่วนเงินงบประมาณ 2'!H31+ปันส่วนเงินนอกงบประมาณ!H32</f>
        <v>201284.70693641619</v>
      </c>
      <c r="J31" s="733">
        <f>'ปันส่วนเงินงบประมาณ 2'!I31+ปันส่วนเงินนอกงบประมาณ!I32</f>
        <v>485248.35196531791</v>
      </c>
      <c r="K31" s="733">
        <f>ปันส่วนเงินนอกงบประมาณ!N32</f>
        <v>612.54254335260111</v>
      </c>
      <c r="L31" s="733">
        <f>ปันส่วนเงินนอกงบประมาณ!J32</f>
        <v>5586.3699421965321</v>
      </c>
      <c r="M31" s="733">
        <f>'ปันส่วนเงินงบประมาณ 2'!J31+ปันส่วนเงินนอกงบประมาณ!K32</f>
        <v>82.554913294797657</v>
      </c>
      <c r="N31" s="850">
        <f t="shared" si="1"/>
        <v>1649576.2846242776</v>
      </c>
      <c r="O31" s="850">
        <f t="shared" si="2"/>
        <v>3324327.593179191</v>
      </c>
    </row>
    <row r="32" spans="1:15">
      <c r="A32" s="887" t="s">
        <v>333</v>
      </c>
      <c r="B32" s="888">
        <f>'ปันส่วนเงินงบประมาณ 2'!C32+ปันส่วนเงินนอกงบประมาณ!C33</f>
        <v>4557564.1499999994</v>
      </c>
      <c r="C32" s="888">
        <f>'ปันส่วนเงินงบประมาณ 2'!D32+ปันส่วนเงินนอกงบประมาณ!D33</f>
        <v>242325.46000000002</v>
      </c>
      <c r="D32" s="888">
        <f>'ปันส่วนเงินงบประมาณ 2'!E32+ปันส่วนเงินนอกงบประมาณ!E33</f>
        <v>6281.06</v>
      </c>
      <c r="E32" s="888">
        <f>ปันส่วนเงินนอกงบประมาณ!M33</f>
        <v>333624.09277456644</v>
      </c>
      <c r="F32" s="889">
        <f t="shared" si="0"/>
        <v>5139794.7627745653</v>
      </c>
      <c r="G32" s="888">
        <f>'ปันส่วนเงินงบประมาณ 2'!F32+ปันส่วนเงินนอกงบประมาณ!F33</f>
        <v>4483293.8439306356</v>
      </c>
      <c r="H32" s="888">
        <f>'ปันส่วนเงินงบประมาณ 2'!G32+ปันส่วนเงินนอกงบประมาณ!G33</f>
        <v>300514.94768786122</v>
      </c>
      <c r="I32" s="888">
        <f>'ปันส่วนเงินงบประมาณ 2'!H32+ปันส่วนเงินนอกงบประมาณ!H33</f>
        <v>1006423.534682081</v>
      </c>
      <c r="J32" s="888">
        <f>'ปันส่วนเงินงบประมาณ 2'!I32+ปันส่วนเงินนอกงบประมาณ!I33</f>
        <v>2426241.7598265894</v>
      </c>
      <c r="K32" s="888">
        <f>ปันส่วนเงินนอกงบประมาณ!N33</f>
        <v>3062.712716763006</v>
      </c>
      <c r="L32" s="888">
        <f>ปันส่วนเงินนอกงบประมาณ!J33</f>
        <v>27931.84971098266</v>
      </c>
      <c r="M32" s="888">
        <f>'ปันส่วนเงินงบประมาณ 2'!J32+ปันส่วนเงินนอกงบประมาณ!K33</f>
        <v>412.77456647398827</v>
      </c>
      <c r="N32" s="889">
        <f t="shared" si="1"/>
        <v>8247881.4231213871</v>
      </c>
      <c r="O32" s="889">
        <f t="shared" si="2"/>
        <v>13387676.185895953</v>
      </c>
    </row>
    <row r="33" spans="1:48" s="890" customFormat="1">
      <c r="A33" s="879" t="s">
        <v>1546</v>
      </c>
      <c r="B33" s="892">
        <f>'ปันส่วนเงินงบประมาณ 2'!C33+ปันส่วนเงินนอกงบประมาณ!C34</f>
        <v>291585.21999999997</v>
      </c>
      <c r="C33" s="892">
        <f>'ปันส่วนเงินงบประมาณ 2'!D33+ปันส่วนเงินนอกงบประมาณ!D34</f>
        <v>7634.45</v>
      </c>
      <c r="D33" s="892">
        <f>'ปันส่วนเงินงบประมาณ 2'!E33+ปันส่วนเงินนอกงบประมาณ!E34</f>
        <v>6521.06</v>
      </c>
      <c r="E33" s="892">
        <f>ปันส่วนเงินนอกงบประมาณ!M34</f>
        <v>33362.409277456645</v>
      </c>
      <c r="F33" s="893">
        <f t="shared" si="0"/>
        <v>339103.13927745662</v>
      </c>
      <c r="G33" s="892">
        <f>'ปันส่วนเงินงบประมาณ 2'!F33+ปันส่วนเงินนอกงบประมาณ!F34</f>
        <v>448329.38439306361</v>
      </c>
      <c r="H33" s="892">
        <f>'ปันส่วนเงินงบประมาณ 2'!G33+ปันส่วนเงินนอกงบประมาณ!G34</f>
        <v>30051.494768786128</v>
      </c>
      <c r="I33" s="892">
        <f>'ปันส่วนเงินงบประมาณ 2'!H33+ปันส่วนเงินนอกงบประมาณ!H34</f>
        <v>100642.35346820809</v>
      </c>
      <c r="J33" s="892">
        <f>'ปันส่วนเงินงบประมาณ 2'!I33+ปันส่วนเงินนอกงบประมาณ!I34</f>
        <v>242624.17598265896</v>
      </c>
      <c r="K33" s="892">
        <f>ปันส่วนเงินนอกงบประมาณ!N34</f>
        <v>306.27127167630056</v>
      </c>
      <c r="L33" s="892">
        <f>ปันส่วนเงินนอกงบประมาณ!J34</f>
        <v>2793.184971098266</v>
      </c>
      <c r="M33" s="892">
        <f>'ปันส่วนเงินงบประมาณ 2'!J33+ปันส่วนเงินนอกงบประมาณ!K34</f>
        <v>41.277456647398829</v>
      </c>
      <c r="N33" s="893">
        <f t="shared" si="1"/>
        <v>824788.14231213881</v>
      </c>
      <c r="O33" s="893">
        <f t="shared" si="2"/>
        <v>1163891.2815895954</v>
      </c>
      <c r="P33" s="894"/>
      <c r="Q33" s="834"/>
      <c r="R33" s="834"/>
      <c r="S33" s="834"/>
      <c r="T33" s="834"/>
      <c r="U33" s="834"/>
      <c r="V33" s="834"/>
      <c r="W33" s="834"/>
      <c r="X33" s="834"/>
      <c r="Y33" s="834"/>
      <c r="Z33" s="834"/>
      <c r="AA33" s="834"/>
      <c r="AB33" s="834"/>
      <c r="AC33" s="834"/>
      <c r="AD33" s="834"/>
      <c r="AE33" s="834"/>
      <c r="AF33" s="834"/>
      <c r="AG33" s="834"/>
      <c r="AH33" s="834"/>
      <c r="AI33" s="834"/>
      <c r="AJ33" s="834"/>
      <c r="AK33" s="834"/>
      <c r="AL33" s="834"/>
      <c r="AM33" s="834"/>
      <c r="AN33" s="834"/>
      <c r="AO33" s="834"/>
      <c r="AP33" s="834"/>
      <c r="AQ33" s="834"/>
      <c r="AR33" s="834"/>
      <c r="AS33" s="834"/>
      <c r="AT33" s="834"/>
      <c r="AU33" s="834"/>
      <c r="AV33" s="834"/>
    </row>
    <row r="34" spans="1:48">
      <c r="A34" s="851"/>
      <c r="B34" s="852"/>
      <c r="C34" s="852"/>
      <c r="D34" s="852"/>
      <c r="E34" s="852"/>
      <c r="F34" s="853"/>
      <c r="G34" s="852"/>
      <c r="H34" s="852"/>
      <c r="I34" s="852"/>
      <c r="J34" s="852"/>
      <c r="K34" s="852"/>
      <c r="L34" s="852"/>
      <c r="M34" s="852"/>
      <c r="N34" s="853"/>
      <c r="O34" s="853"/>
    </row>
    <row r="35" spans="1:48">
      <c r="A35" s="851"/>
      <c r="B35" s="852"/>
      <c r="C35" s="852"/>
      <c r="D35" s="852"/>
      <c r="E35" s="852"/>
      <c r="F35" s="853"/>
      <c r="G35" s="852"/>
      <c r="H35" s="852"/>
      <c r="I35" s="852"/>
      <c r="J35" s="852"/>
      <c r="K35" s="852"/>
      <c r="L35" s="852"/>
      <c r="M35" s="852"/>
      <c r="N35" s="853"/>
      <c r="O35" s="853"/>
    </row>
    <row r="36" spans="1:48">
      <c r="A36" s="851"/>
      <c r="B36" s="852"/>
      <c r="C36" s="852"/>
      <c r="D36" s="852"/>
      <c r="E36" s="852"/>
      <c r="F36" s="853"/>
      <c r="G36" s="852"/>
      <c r="H36" s="852"/>
      <c r="I36" s="852"/>
      <c r="J36" s="852"/>
      <c r="K36" s="852"/>
      <c r="L36" s="852"/>
      <c r="M36" s="852"/>
      <c r="N36" s="853"/>
      <c r="O36" s="853"/>
    </row>
    <row r="37" spans="1:48">
      <c r="A37" s="851"/>
      <c r="B37" s="852"/>
      <c r="C37" s="852"/>
      <c r="D37" s="852"/>
      <c r="E37" s="852"/>
      <c r="F37" s="853"/>
      <c r="G37" s="852"/>
      <c r="H37" s="852"/>
      <c r="I37" s="852"/>
      <c r="J37" s="852"/>
      <c r="K37" s="852"/>
      <c r="L37" s="852"/>
      <c r="M37" s="852"/>
      <c r="N37" s="853"/>
      <c r="O37" s="853"/>
    </row>
    <row r="38" spans="1:48">
      <c r="A38" s="851"/>
      <c r="B38" s="852"/>
      <c r="C38" s="852"/>
      <c r="D38" s="852"/>
      <c r="E38" s="852"/>
      <c r="F38" s="853"/>
      <c r="G38" s="852"/>
      <c r="H38" s="852"/>
      <c r="I38" s="852"/>
      <c r="J38" s="852"/>
      <c r="K38" s="852"/>
      <c r="L38" s="852"/>
      <c r="M38" s="852"/>
      <c r="N38" s="853"/>
      <c r="O38" s="853"/>
    </row>
    <row r="39" spans="1:48">
      <c r="A39" s="851"/>
      <c r="B39" s="852"/>
      <c r="C39" s="852"/>
      <c r="D39" s="852"/>
      <c r="E39" s="852"/>
      <c r="F39" s="853"/>
      <c r="G39" s="852"/>
      <c r="H39" s="852"/>
      <c r="I39" s="852"/>
      <c r="J39" s="852"/>
      <c r="K39" s="852"/>
      <c r="L39" s="852"/>
      <c r="M39" s="852"/>
      <c r="N39" s="853"/>
      <c r="O39" s="853"/>
    </row>
    <row r="40" spans="1:48">
      <c r="A40" s="851"/>
      <c r="B40" s="852"/>
      <c r="C40" s="852"/>
      <c r="D40" s="852"/>
      <c r="E40" s="852"/>
      <c r="F40" s="853"/>
      <c r="G40" s="852"/>
      <c r="H40" s="852"/>
      <c r="I40" s="852"/>
      <c r="J40" s="852"/>
      <c r="K40" s="852"/>
      <c r="L40" s="852"/>
      <c r="M40" s="852"/>
      <c r="N40" s="853"/>
      <c r="O40" s="853"/>
    </row>
    <row r="41" spans="1:48">
      <c r="A41" s="851"/>
      <c r="B41" s="852"/>
      <c r="C41" s="852"/>
      <c r="D41" s="852"/>
      <c r="E41" s="852"/>
      <c r="F41" s="853"/>
      <c r="G41" s="852"/>
      <c r="H41" s="852"/>
      <c r="I41" s="852"/>
      <c r="J41" s="852"/>
      <c r="K41" s="852"/>
      <c r="L41" s="852"/>
      <c r="M41" s="852"/>
      <c r="N41" s="853"/>
      <c r="O41" s="853"/>
    </row>
    <row r="42" spans="1:48">
      <c r="A42" s="854" t="s">
        <v>288</v>
      </c>
      <c r="B42" s="855"/>
      <c r="C42" s="855"/>
      <c r="D42" s="855"/>
      <c r="E42" s="855"/>
      <c r="F42" s="856"/>
      <c r="G42" s="855"/>
      <c r="H42" s="855"/>
      <c r="I42" s="855"/>
      <c r="J42" s="855"/>
      <c r="K42" s="855"/>
      <c r="L42" s="855"/>
      <c r="M42" s="855"/>
      <c r="N42" s="856"/>
      <c r="O42" s="856"/>
    </row>
    <row r="43" spans="1:48">
      <c r="A43" s="857" t="s">
        <v>334</v>
      </c>
      <c r="B43" s="858">
        <f>'ปันส่วนเงินงบประมาณ 2'!C35+ปันส่วนเงินนอกงบประมาณ!C36</f>
        <v>1272628.97</v>
      </c>
      <c r="C43" s="858">
        <f>'ปันส่วนเงินงบประมาณ 2'!D35+ปันส่วนเงินนอกงบประมาณ!D36</f>
        <v>198451.46000000002</v>
      </c>
      <c r="D43" s="858">
        <f>'ปันส่วนเงินงบประมาณ 2'!E35+ปันส่วนเงินนอกงบประมาณ!E36</f>
        <v>278552.21000000002</v>
      </c>
      <c r="E43" s="858">
        <f>ปันส่วนเงินนอกงบประมาณ!M36</f>
        <v>33362.409277456645</v>
      </c>
      <c r="F43" s="859">
        <f>SUM(B43:E43)</f>
        <v>1782995.0492774565</v>
      </c>
      <c r="G43" s="858">
        <f>'ปันส่วนเงินงบประมาณ 2'!F35+ปันส่วนเงินนอกงบประมาณ!F36</f>
        <v>448329.38439306361</v>
      </c>
      <c r="H43" s="858">
        <f>'ปันส่วนเงินงบประมาณ 2'!G35+ปันส่วนเงินนอกงบประมาณ!G36</f>
        <v>30051.494768786128</v>
      </c>
      <c r="I43" s="858">
        <f>'ปันส่วนเงินงบประมาณ 2'!H35+ปันส่วนเงินนอกงบประมาณ!H36</f>
        <v>100642.35346820809</v>
      </c>
      <c r="J43" s="858">
        <f>'ปันส่วนเงินงบประมาณ 2'!I35+ปันส่วนเงินนอกงบประมาณ!I36</f>
        <v>242624.17598265896</v>
      </c>
      <c r="K43" s="858">
        <f>ปันส่วนเงินนอกงบประมาณ!N36</f>
        <v>306.27127167630056</v>
      </c>
      <c r="L43" s="858">
        <f>ปันส่วนเงินนอกงบประมาณ!J36</f>
        <v>2793.184971098266</v>
      </c>
      <c r="M43" s="858">
        <f>'ปันส่วนเงินงบประมาณ 2'!J35+ปันส่วนเงินนอกงบประมาณ!K36</f>
        <v>41.277456647398829</v>
      </c>
      <c r="N43" s="859">
        <f t="shared" ref="N43:N64" si="3">SUM(G43:M43)</f>
        <v>824788.14231213881</v>
      </c>
      <c r="O43" s="859">
        <f>+F43+N43</f>
        <v>2607783.1915895953</v>
      </c>
    </row>
    <row r="44" spans="1:48">
      <c r="A44" s="860" t="s">
        <v>497</v>
      </c>
      <c r="B44" s="861">
        <f>'ปันส่วนเงินงบประมาณ 2'!C36+ปันส่วนเงินนอกงบประมาณ!C37</f>
        <v>828468.97</v>
      </c>
      <c r="C44" s="861">
        <f>'ปันส่วนเงินงบประมาณ 2'!D36+ปันส่วนเงินนอกงบประมาณ!D37</f>
        <v>206595.46000000002</v>
      </c>
      <c r="D44" s="861">
        <f>'ปันส่วนเงินงบประมาณ 2'!E36+ปันส่วนเงินนอกงบประมาณ!E37</f>
        <v>8051.06</v>
      </c>
      <c r="E44" s="861">
        <f>ปันส่วนเงินนอกงบประมาณ!M37</f>
        <v>33362.409277456645</v>
      </c>
      <c r="F44" s="862">
        <f t="shared" ref="F44:F64" si="4">SUM(B44:E44)</f>
        <v>1076477.8992774566</v>
      </c>
      <c r="G44" s="861">
        <f>'ปันส่วนเงินงบประมาณ 2'!F36+ปันส่วนเงินนอกงบประมาณ!F37</f>
        <v>448329.38439306361</v>
      </c>
      <c r="H44" s="861">
        <f>'ปันส่วนเงินงบประมาณ 2'!G36+ปันส่วนเงินนอกงบประมาณ!G37</f>
        <v>30051.494768786128</v>
      </c>
      <c r="I44" s="861">
        <f>'ปันส่วนเงินงบประมาณ 2'!H36+ปันส่วนเงินนอกงบประมาณ!H37</f>
        <v>100642.35346820809</v>
      </c>
      <c r="J44" s="861">
        <f>'ปันส่วนเงินงบประมาณ 2'!I36+ปันส่วนเงินนอกงบประมาณ!I37</f>
        <v>242624.17598265896</v>
      </c>
      <c r="K44" s="861">
        <f>ปันส่วนเงินนอกงบประมาณ!N37</f>
        <v>306.27127167630056</v>
      </c>
      <c r="L44" s="861">
        <f>ปันส่วนเงินนอกงบประมาณ!J37</f>
        <v>2793.184971098266</v>
      </c>
      <c r="M44" s="861">
        <f>'ปันส่วนเงินงบประมาณ 2'!J36+ปันส่วนเงินนอกงบประมาณ!K37</f>
        <v>41.277456647398829</v>
      </c>
      <c r="N44" s="862">
        <f t="shared" si="3"/>
        <v>824788.14231213881</v>
      </c>
      <c r="O44" s="862">
        <f t="shared" ref="O44:O64" si="5">+F44+N44</f>
        <v>1901266.0415895954</v>
      </c>
    </row>
    <row r="45" spans="1:48">
      <c r="A45" s="860" t="s">
        <v>336</v>
      </c>
      <c r="B45" s="861">
        <f>'ปันส่วนเงินงบประมาณ 2'!C37+ปันส่วนเงินนอกงบประมาณ!C38</f>
        <v>1683510.26</v>
      </c>
      <c r="C45" s="861">
        <f>'ปันส่วนเงินงบประมาณ 2'!D37+ปันส่วนเงินนอกงบประมาณ!D38</f>
        <v>172387.46000000002</v>
      </c>
      <c r="D45" s="861">
        <f>'ปันส่วนเงินงบประมาณ 2'!E37+ปันส่วนเงินนอกงบประมาณ!E38</f>
        <v>8491.0600000000013</v>
      </c>
      <c r="E45" s="861">
        <f>ปันส่วนเงินนอกงบประมาณ!M38</f>
        <v>200174.45566473989</v>
      </c>
      <c r="F45" s="862">
        <f t="shared" si="4"/>
        <v>2064563.23566474</v>
      </c>
      <c r="G45" s="861">
        <f>'ปันส่วนเงินงบประมาณ 2'!F37+ปันส่วนเงินนอกงบประมาณ!F38</f>
        <v>2689976.3063583816</v>
      </c>
      <c r="H45" s="861">
        <f>'ปันส่วนเงินงบประมาณ 2'!G37+ปันส่วนเงินนอกงบประมาณ!G38</f>
        <v>180308.96861271677</v>
      </c>
      <c r="I45" s="861">
        <f>'ปันส่วนเงินงบประมาณ 2'!H37+ปันส่วนเงินนอกงบประมาณ!H38</f>
        <v>603854.12080924853</v>
      </c>
      <c r="J45" s="861">
        <f>'ปันส่วนเงินงบประมาณ 2'!I37+ปันส่วนเงินนอกงบประมาณ!I38</f>
        <v>1455745.0558959539</v>
      </c>
      <c r="K45" s="861">
        <f>ปันส่วนเงินนอกงบประมาณ!N38</f>
        <v>1837.6276300578036</v>
      </c>
      <c r="L45" s="861">
        <f>ปันส่วนเงินนอกงบประมาณ!J38</f>
        <v>16759.109826589596</v>
      </c>
      <c r="M45" s="861">
        <f>'ปันส่วนเงินงบประมาณ 2'!J37+ปันส่วนเงินนอกงบประมาณ!K38</f>
        <v>247.66473988439299</v>
      </c>
      <c r="N45" s="862">
        <f t="shared" si="3"/>
        <v>4948728.8538728338</v>
      </c>
      <c r="O45" s="862">
        <f t="shared" si="5"/>
        <v>7013292.089537574</v>
      </c>
    </row>
    <row r="46" spans="1:48">
      <c r="A46" s="860" t="s">
        <v>337</v>
      </c>
      <c r="B46" s="861">
        <f>'ปันส่วนเงินงบประมาณ 2'!C38+ปันส่วนเงินนอกงบประมาณ!C39</f>
        <v>985797.87</v>
      </c>
      <c r="C46" s="861">
        <f>'ปันส่วนเงินงบประมาณ 2'!D38+ปันส่วนเงินนอกงบประมาณ!D39</f>
        <v>164185.46000000002</v>
      </c>
      <c r="D46" s="861">
        <f>'ปันส่วนเงินงบประมาณ 2'!E38+ปันส่วนเงินนอกงบประมาณ!E39</f>
        <v>75626.06</v>
      </c>
      <c r="E46" s="861">
        <f>ปันส่วนเงินนอกงบประมาณ!M39</f>
        <v>100087.22783236994</v>
      </c>
      <c r="F46" s="862">
        <f t="shared" si="4"/>
        <v>1325696.6178323701</v>
      </c>
      <c r="G46" s="861">
        <f>'ปันส่วนเงินงบประมาณ 2'!F38+ปันส่วนเงินนอกงบประมาณ!F39</f>
        <v>1344988.1531791908</v>
      </c>
      <c r="H46" s="861">
        <f>'ปันส่วนเงินงบประมาณ 2'!G38+ปันส่วนเงินนอกงบประมาณ!G39</f>
        <v>90154.484306358383</v>
      </c>
      <c r="I46" s="861">
        <f>'ปันส่วนเงินงบประมาณ 2'!H38+ปันส่วนเงินนอกงบประมาณ!H39</f>
        <v>301927.06040462427</v>
      </c>
      <c r="J46" s="861">
        <f>'ปันส่วนเงินงบประมาณ 2'!I38+ปันส่วนเงินนอกงบประมาณ!I39</f>
        <v>727872.52794797695</v>
      </c>
      <c r="K46" s="861">
        <f>ปันส่วนเงินนอกงบประมาณ!N39</f>
        <v>918.81381502890179</v>
      </c>
      <c r="L46" s="861">
        <f>ปันส่วนเงินนอกงบประมาณ!J39</f>
        <v>8379.5549132947981</v>
      </c>
      <c r="M46" s="861">
        <f>'ปันส่วนเงินงบประมาณ 2'!J38+ปันส่วนเงินนอกงบประมาณ!K39</f>
        <v>123.83236994219649</v>
      </c>
      <c r="N46" s="862">
        <f t="shared" si="3"/>
        <v>2474364.4269364169</v>
      </c>
      <c r="O46" s="862">
        <f t="shared" si="5"/>
        <v>3800061.044768787</v>
      </c>
    </row>
    <row r="47" spans="1:48">
      <c r="A47" s="860" t="s">
        <v>338</v>
      </c>
      <c r="B47" s="861">
        <f>'ปันส่วนเงินงบประมาณ 2'!C39+ปันส่วนเงินนอกงบประมาณ!C40</f>
        <v>1831248.97</v>
      </c>
      <c r="C47" s="861">
        <f>'ปันส่วนเงินงบประมาณ 2'!D39+ปันส่วนเงินนอกงบประมาณ!D40</f>
        <v>171207.46000000002</v>
      </c>
      <c r="D47" s="861">
        <f>'ปันส่วนเงินงบประมาณ 2'!E39+ปันส่วนเงินนอกงบประมาณ!E40</f>
        <v>6401.06</v>
      </c>
      <c r="E47" s="861">
        <f>ปันส่วนเงินนอกงบประมาณ!M40</f>
        <v>200174.45566473989</v>
      </c>
      <c r="F47" s="862">
        <f t="shared" si="4"/>
        <v>2209031.9456647397</v>
      </c>
      <c r="G47" s="861">
        <f>'ปันส่วนเงินงบประมาณ 2'!F39+ปันส่วนเงินนอกงบประมาณ!F40</f>
        <v>2689976.3063583816</v>
      </c>
      <c r="H47" s="861">
        <f>'ปันส่วนเงินงบประมาณ 2'!G39+ปันส่วนเงินนอกงบประมาณ!G40</f>
        <v>180308.96861271677</v>
      </c>
      <c r="I47" s="861">
        <f>'ปันส่วนเงินงบประมาณ 2'!H39+ปันส่วนเงินนอกงบประมาณ!H40</f>
        <v>603854.12080924853</v>
      </c>
      <c r="J47" s="861">
        <f>'ปันส่วนเงินงบประมาณ 2'!I39+ปันส่วนเงินนอกงบประมาณ!I40</f>
        <v>1455745.0558959539</v>
      </c>
      <c r="K47" s="861">
        <f>ปันส่วนเงินนอกงบประมาณ!N40</f>
        <v>1837.6276300578036</v>
      </c>
      <c r="L47" s="861">
        <f>ปันส่วนเงินนอกงบประมาณ!J40</f>
        <v>16759.109826589596</v>
      </c>
      <c r="M47" s="861">
        <f>'ปันส่วนเงินงบประมาณ 2'!J39+ปันส่วนเงินนอกงบประมาณ!K40</f>
        <v>247.66473988439299</v>
      </c>
      <c r="N47" s="862">
        <f t="shared" si="3"/>
        <v>4948728.8538728338</v>
      </c>
      <c r="O47" s="862">
        <f t="shared" si="5"/>
        <v>7157760.799537573</v>
      </c>
    </row>
    <row r="48" spans="1:48">
      <c r="A48" s="860" t="s">
        <v>496</v>
      </c>
      <c r="B48" s="861">
        <f>'ปันส่วนเงินงบประมาณ 2'!C40+ปันส่วนเงินนอกงบประมาณ!C41</f>
        <v>2680018.9699999997</v>
      </c>
      <c r="C48" s="861">
        <f>'ปันส่วนเงินงบประมาณ 2'!D40+ปันส่วนเงินนอกงบประมาณ!D41</f>
        <v>205753.46000000002</v>
      </c>
      <c r="D48" s="861">
        <f>'ปันส่วนเงินงบประมาณ 2'!E40+ปันส่วนเงินนอกงบประมาณ!E41</f>
        <v>12021.060000000001</v>
      </c>
      <c r="E48" s="861">
        <f>ปันส่วนเงินนอกงบประมาณ!M41</f>
        <v>300261.6834971098</v>
      </c>
      <c r="F48" s="862">
        <f t="shared" si="4"/>
        <v>3198055.1734971097</v>
      </c>
      <c r="G48" s="861">
        <f>'ปันส่วนเงินงบประมาณ 2'!F40+ปันส่วนเงินนอกงบประมาณ!F41</f>
        <v>4034964.4595375722</v>
      </c>
      <c r="H48" s="861">
        <f>'ปันส่วนเงินงบประมาณ 2'!G40+ปันส่วนเงินนอกงบประมาณ!G41</f>
        <v>270463.45291907515</v>
      </c>
      <c r="I48" s="861">
        <f>'ปันส่วนเงินงบประมาณ 2'!H40+ปันส่วนเงินนอกงบประมาณ!H41</f>
        <v>905781.18121387274</v>
      </c>
      <c r="J48" s="861">
        <f>'ปันส่วนเงินงบประมาณ 2'!I40+ปันส่วนเงินนอกงบประมาณ!I41</f>
        <v>2183617.5838439306</v>
      </c>
      <c r="K48" s="861">
        <f>ปันส่วนเงินนอกงบประมาณ!N41</f>
        <v>2756.4414450867052</v>
      </c>
      <c r="L48" s="861">
        <f>ปันส่วนเงินนอกงบประมาณ!J41</f>
        <v>25138.664739884392</v>
      </c>
      <c r="M48" s="861">
        <f>'ปันส่วนเงินงบประมาณ 2'!J40+ปันส่วนเงินนอกงบประมาณ!K41</f>
        <v>371.49710982658945</v>
      </c>
      <c r="N48" s="862">
        <f t="shared" si="3"/>
        <v>7423093.2808092488</v>
      </c>
      <c r="O48" s="862">
        <f t="shared" si="5"/>
        <v>10621148.454306358</v>
      </c>
    </row>
    <row r="49" spans="1:15">
      <c r="A49" s="860" t="s">
        <v>502</v>
      </c>
      <c r="B49" s="861">
        <f>'ปันส่วนเงินงบประมาณ 2'!C41+ปันส่วนเงินนอกงบประมาณ!C42</f>
        <v>1996766.97</v>
      </c>
      <c r="C49" s="861">
        <f>'ปันส่วนเงินงบประมาณ 2'!D41+ปันส่วนเงินนอกงบประมาณ!D42</f>
        <v>212061.46000000002</v>
      </c>
      <c r="D49" s="861">
        <f>'ปันส่วนเงินงบประมาณ 2'!E41+ปันส่วนเงินนอกงบประมาณ!E42</f>
        <v>22733.06</v>
      </c>
      <c r="E49" s="861">
        <f>ปันส่วนเงินนอกงบประมาณ!M42</f>
        <v>233536.86494219652</v>
      </c>
      <c r="F49" s="862">
        <f t="shared" si="4"/>
        <v>2465098.354942197</v>
      </c>
      <c r="G49" s="861">
        <f>'ปันส่วนเงินงบประมาณ 2'!F41+ปันส่วนเงินนอกงบประมาณ!F42</f>
        <v>3138305.690751445</v>
      </c>
      <c r="H49" s="861">
        <f>'ปันส่วนเงินงบประมาณ 2'!G41+ปันส่วนเงินนอกงบประมาณ!G42</f>
        <v>210360.46338150289</v>
      </c>
      <c r="I49" s="861">
        <f>'ปันส่วนเงินงบประมาณ 2'!H41+ปันส่วนเงินนอกงบประมาณ!H42</f>
        <v>704496.47427745652</v>
      </c>
      <c r="J49" s="861">
        <f>'ปันส่วนเงินงบประมาณ 2'!I41+ปันส่วนเงินนอกงบประมาณ!I42</f>
        <v>1698369.2318786127</v>
      </c>
      <c r="K49" s="861">
        <f>ปันส่วนเงินนอกงบประมาณ!N42</f>
        <v>2143.8989017341041</v>
      </c>
      <c r="L49" s="861">
        <f>ปันส่วนเงินนอกงบประมาณ!J42</f>
        <v>19552.29479768786</v>
      </c>
      <c r="M49" s="861">
        <f>'ปันส่วนเงินงบประมาณ 2'!J41+ปันส่วนเงินนอกงบประมาณ!K42</f>
        <v>288.94219653179175</v>
      </c>
      <c r="N49" s="862">
        <f t="shared" si="3"/>
        <v>5773516.9961849712</v>
      </c>
      <c r="O49" s="862">
        <f t="shared" si="5"/>
        <v>8238615.3511271682</v>
      </c>
    </row>
    <row r="50" spans="1:15">
      <c r="A50" s="860" t="s">
        <v>1459</v>
      </c>
      <c r="B50" s="861">
        <f>'ปันส่วนเงินงบประมาณ 2'!C42+ปันส่วนเงินนอกงบประมาณ!C43</f>
        <v>846760.9</v>
      </c>
      <c r="C50" s="861">
        <f>'ปันส่วนเงินงบประมาณ 2'!D42+ปันส่วนเงินนอกงบประมาณ!D43</f>
        <v>201089.46000000002</v>
      </c>
      <c r="D50" s="861">
        <f>'ปันส่วนเงินงบประมาณ 2'!E42+ปันส่วนเงินนอกงบประมาณ!E43</f>
        <v>13651.060000000001</v>
      </c>
      <c r="E50" s="861">
        <f>ปันส่วนเงินนอกงบประมาณ!M43</f>
        <v>100087.22783236994</v>
      </c>
      <c r="F50" s="862">
        <f t="shared" si="4"/>
        <v>1161588.6478323701</v>
      </c>
      <c r="G50" s="861">
        <f>'ปันส่วนเงินงบประมาณ 2'!F42+ปันส่วนเงินนอกงบประมาณ!F43</f>
        <v>1344988.1531791908</v>
      </c>
      <c r="H50" s="861">
        <f>'ปันส่วนเงินงบประมาณ 2'!G42+ปันส่วนเงินนอกงบประมาณ!G43</f>
        <v>90154.484306358383</v>
      </c>
      <c r="I50" s="861">
        <f>'ปันส่วนเงินงบประมาณ 2'!H42+ปันส่วนเงินนอกงบประมาณ!H43</f>
        <v>301927.06040462427</v>
      </c>
      <c r="J50" s="861">
        <f>'ปันส่วนเงินงบประมาณ 2'!I42+ปันส่วนเงินนอกงบประมาณ!I43</f>
        <v>727872.52794797695</v>
      </c>
      <c r="K50" s="861">
        <f>ปันส่วนเงินนอกงบประมาณ!N43</f>
        <v>918.81381502890179</v>
      </c>
      <c r="L50" s="861">
        <f>ปันส่วนเงินนอกงบประมาณ!J43</f>
        <v>8379.5549132947981</v>
      </c>
      <c r="M50" s="861">
        <f>'ปันส่วนเงินงบประมาณ 2'!J42+ปันส่วนเงินนอกงบประมาณ!K43</f>
        <v>123.83236994219649</v>
      </c>
      <c r="N50" s="862">
        <f t="shared" si="3"/>
        <v>2474364.4269364169</v>
      </c>
      <c r="O50" s="862">
        <f t="shared" si="5"/>
        <v>3635953.0747687872</v>
      </c>
    </row>
    <row r="51" spans="1:15">
      <c r="A51" s="95" t="s">
        <v>1537</v>
      </c>
      <c r="B51" s="861">
        <f>'ปันส่วนเงินงบประมาณ 2'!C43+ปันส่วนเงินนอกงบประมาณ!C44</f>
        <v>1877999.15</v>
      </c>
      <c r="C51" s="861">
        <f>'ปันส่วนเงินงบประมาณ 2'!D43+ปันส่วนเงินนอกงบประมาณ!D44</f>
        <v>175655.46000000002</v>
      </c>
      <c r="D51" s="861">
        <f>'ปันส่วนเงินงบประมาณ 2'!E43+ปันส่วนเงินนอกงบประมาณ!E44</f>
        <v>7721.06</v>
      </c>
      <c r="E51" s="861">
        <f>ปันส่วนเงินนอกงบประมาณ!M44</f>
        <v>233536.86494219652</v>
      </c>
      <c r="F51" s="862">
        <f t="shared" si="4"/>
        <v>2294912.5349421967</v>
      </c>
      <c r="G51" s="861">
        <f>'ปันส่วนเงินงบประมาณ 2'!F43+ปันส่วนเงินนอกงบประมาณ!F44</f>
        <v>3138305.690751445</v>
      </c>
      <c r="H51" s="861">
        <f>'ปันส่วนเงินงบประมาณ 2'!G43+ปันส่วนเงินนอกงบประมาณ!G44</f>
        <v>210360.46338150289</v>
      </c>
      <c r="I51" s="861">
        <f>'ปันส่วนเงินงบประมาณ 2'!H43+ปันส่วนเงินนอกงบประมาณ!H44</f>
        <v>704496.47427745652</v>
      </c>
      <c r="J51" s="861">
        <f>'ปันส่วนเงินงบประมาณ 2'!I43+ปันส่วนเงินนอกงบประมาณ!I44</f>
        <v>1698369.2318786127</v>
      </c>
      <c r="K51" s="861">
        <f>ปันส่วนเงินนอกงบประมาณ!N44</f>
        <v>2143.8989017341041</v>
      </c>
      <c r="L51" s="861">
        <f>ปันส่วนเงินนอกงบประมาณ!J44</f>
        <v>19552.29479768786</v>
      </c>
      <c r="M51" s="861">
        <f>'ปันส่วนเงินงบประมาณ 2'!J43+ปันส่วนเงินนอกงบประมาณ!K44</f>
        <v>288.94219653179175</v>
      </c>
      <c r="N51" s="862">
        <f t="shared" si="3"/>
        <v>5773516.9961849712</v>
      </c>
      <c r="O51" s="862">
        <f t="shared" si="5"/>
        <v>8068429.5311271679</v>
      </c>
    </row>
    <row r="52" spans="1:15">
      <c r="A52" s="860" t="s">
        <v>498</v>
      </c>
      <c r="B52" s="861">
        <f>'ปันส่วนเงินงบประมาณ 2'!C44+ปันส่วนเงินนอกงบประมาณ!C45</f>
        <v>409819.62</v>
      </c>
      <c r="C52" s="861">
        <f>'ปันส่วนเงินงบประมาณ 2'!D44+ปันส่วนเงินนอกงบประมาณ!D45</f>
        <v>162901.46000000002</v>
      </c>
      <c r="D52" s="861">
        <f>'ปันส่วนเงินงบประมาณ 2'!E44+ปันส่วนเงินนอกงบประมาณ!E45</f>
        <v>11481.060000000001</v>
      </c>
      <c r="E52" s="861">
        <f>ปันส่วนเงินนอกงบประมาณ!M45</f>
        <v>33362.409277456645</v>
      </c>
      <c r="F52" s="862">
        <f t="shared" si="4"/>
        <v>617564.54927745683</v>
      </c>
      <c r="G52" s="861">
        <f>'ปันส่วนเงินงบประมาณ 2'!F44+ปันส่วนเงินนอกงบประมาณ!F45</f>
        <v>448329.38439306361</v>
      </c>
      <c r="H52" s="861">
        <f>'ปันส่วนเงินงบประมาณ 2'!G44+ปันส่วนเงินนอกงบประมาณ!G45</f>
        <v>30051.494768786128</v>
      </c>
      <c r="I52" s="861">
        <f>'ปันส่วนเงินงบประมาณ 2'!H44+ปันส่วนเงินนอกงบประมาณ!H45</f>
        <v>100642.35346820809</v>
      </c>
      <c r="J52" s="861">
        <f>'ปันส่วนเงินงบประมาณ 2'!I44+ปันส่วนเงินนอกงบประมาณ!I45</f>
        <v>242624.17598265896</v>
      </c>
      <c r="K52" s="861">
        <f>ปันส่วนเงินนอกงบประมาณ!N45</f>
        <v>306.27127167630056</v>
      </c>
      <c r="L52" s="861">
        <f>ปันส่วนเงินนอกงบประมาณ!J45</f>
        <v>2793.184971098266</v>
      </c>
      <c r="M52" s="861">
        <f>'ปันส่วนเงินงบประมาณ 2'!J44+ปันส่วนเงินนอกงบประมาณ!K45</f>
        <v>41.277456647398829</v>
      </c>
      <c r="N52" s="862">
        <f t="shared" si="3"/>
        <v>824788.14231213881</v>
      </c>
      <c r="O52" s="862">
        <f t="shared" si="5"/>
        <v>1442352.6915895957</v>
      </c>
    </row>
    <row r="53" spans="1:15">
      <c r="A53" s="860" t="s">
        <v>293</v>
      </c>
      <c r="B53" s="861">
        <f>'ปันส่วนเงินงบประมาณ 2'!C45+ปันส่วนเงินนอกงบประมาณ!C46</f>
        <v>466105.1</v>
      </c>
      <c r="C53" s="861">
        <f>'ปันส่วนเงินงบประมาณ 2'!D45+ปันส่วนเงินนอกงบประมาณ!D46</f>
        <v>7634.45</v>
      </c>
      <c r="D53" s="861">
        <f>'ปันส่วนเงินงบประมาณ 2'!E45+ปันส่วนเงินนอกงบประมาณ!E46</f>
        <v>7441.06</v>
      </c>
      <c r="E53" s="861">
        <f>ปันส่วนเงินนอกงบประมาณ!M46</f>
        <v>66724.81855491329</v>
      </c>
      <c r="F53" s="862">
        <f t="shared" si="4"/>
        <v>547905.42855491326</v>
      </c>
      <c r="G53" s="861">
        <f>'ปันส่วนเงินงบประมาณ 2'!F45+ปันส่วนเงินนอกงบประมาณ!F46</f>
        <v>896658.76878612721</v>
      </c>
      <c r="H53" s="861">
        <f>'ปันส่วนเงินงบประมาณ 2'!G45+ปันส่วนเงินนอกงบประมาณ!G46</f>
        <v>60102.989537572255</v>
      </c>
      <c r="I53" s="861">
        <f>'ปันส่วนเงินงบประมาณ 2'!H45+ปันส่วนเงินนอกงบประมาณ!H46</f>
        <v>201284.70693641619</v>
      </c>
      <c r="J53" s="861">
        <f>'ปันส่วนเงินงบประมาณ 2'!I45+ปันส่วนเงินนอกงบประมาณ!I46</f>
        <v>485248.35196531791</v>
      </c>
      <c r="K53" s="861">
        <f>ปันส่วนเงินนอกงบประมาณ!N46</f>
        <v>612.54254335260111</v>
      </c>
      <c r="L53" s="861">
        <f>ปันส่วนเงินนอกงบประมาณ!J46</f>
        <v>5586.3699421965321</v>
      </c>
      <c r="M53" s="861">
        <f>'ปันส่วนเงินงบประมาณ 2'!J45+ปันส่วนเงินนอกงบประมาณ!K46</f>
        <v>82.554913294797657</v>
      </c>
      <c r="N53" s="862">
        <f t="shared" si="3"/>
        <v>1649576.2846242776</v>
      </c>
      <c r="O53" s="862">
        <f t="shared" si="5"/>
        <v>2197481.7131791906</v>
      </c>
    </row>
    <row r="54" spans="1:15">
      <c r="A54" s="860" t="s">
        <v>294</v>
      </c>
      <c r="B54" s="861">
        <f>'ปันส่วนเงินงบประมาณ 2'!C46+ปันส่วนเงินนอกงบประมาณ!C47</f>
        <v>709998.97</v>
      </c>
      <c r="C54" s="861">
        <f>'ปันส่วนเงินงบประมาณ 2'!D46+ปันส่วนเงินนอกงบประมาณ!D47</f>
        <v>7634.45</v>
      </c>
      <c r="D54" s="861">
        <f>'ปันส่วนเงินงบประมาณ 2'!E46+ปันส่วนเงินนอกงบประมาณ!E47</f>
        <v>6281.06</v>
      </c>
      <c r="E54" s="861">
        <f>ปันส่วนเงินนอกงบประมาณ!M47</f>
        <v>66724.81855491329</v>
      </c>
      <c r="F54" s="862">
        <f t="shared" si="4"/>
        <v>790639.29855491326</v>
      </c>
      <c r="G54" s="861">
        <f>'ปันส่วนเงินงบประมาณ 2'!F46+ปันส่วนเงินนอกงบประมาณ!F47</f>
        <v>896658.76878612721</v>
      </c>
      <c r="H54" s="861">
        <f>'ปันส่วนเงินงบประมาณ 2'!G46+ปันส่วนเงินนอกงบประมาณ!G47</f>
        <v>60102.989537572255</v>
      </c>
      <c r="I54" s="861">
        <f>'ปันส่วนเงินงบประมาณ 2'!H46+ปันส่วนเงินนอกงบประมาณ!H47</f>
        <v>201284.70693641619</v>
      </c>
      <c r="J54" s="861">
        <f>'ปันส่วนเงินงบประมาณ 2'!I46+ปันส่วนเงินนอกงบประมาณ!I47</f>
        <v>485248.35196531791</v>
      </c>
      <c r="K54" s="861">
        <f>ปันส่วนเงินนอกงบประมาณ!N47</f>
        <v>612.54254335260111</v>
      </c>
      <c r="L54" s="861">
        <f>ปันส่วนเงินนอกงบประมาณ!J47</f>
        <v>5586.3699421965321</v>
      </c>
      <c r="M54" s="861">
        <f>'ปันส่วนเงินงบประมาณ 2'!J46+ปันส่วนเงินนอกงบประมาณ!K47</f>
        <v>82.554913294797657</v>
      </c>
      <c r="N54" s="862">
        <f t="shared" si="3"/>
        <v>1649576.2846242776</v>
      </c>
      <c r="O54" s="862">
        <f t="shared" si="5"/>
        <v>2440215.5831791908</v>
      </c>
    </row>
    <row r="55" spans="1:15">
      <c r="A55" s="860" t="s">
        <v>343</v>
      </c>
      <c r="B55" s="861">
        <f>'ปันส่วนเงินงบประมาณ 2'!C47+ปันส่วนเงินนอกงบประมาณ!C48</f>
        <v>607214.18999999994</v>
      </c>
      <c r="C55" s="861">
        <f>'ปันส่วนเงินงบประมาณ 2'!D47+ปันส่วนเงินนอกงบประมาณ!D48</f>
        <v>165501.46000000002</v>
      </c>
      <c r="D55" s="861">
        <f>'ปันส่วนเงินงบประมาณ 2'!E47+ปันส่วนเงินนอกงบประมาณ!E48</f>
        <v>6401.06</v>
      </c>
      <c r="E55" s="861">
        <f>ปันส่วนเงินนอกงบประมาณ!M48</f>
        <v>133449.63710982658</v>
      </c>
      <c r="F55" s="862">
        <f t="shared" si="4"/>
        <v>912566.34710982651</v>
      </c>
      <c r="G55" s="861">
        <f>'ปันส่วนเงินงบประมาณ 2'!F47+ปันส่วนเงินนอกงบประมาณ!F48</f>
        <v>1793317.5375722544</v>
      </c>
      <c r="H55" s="861">
        <f>'ปันส่วนเงินงบประมาณ 2'!G47+ปันส่วนเงินนอกงบประมาณ!G48</f>
        <v>120205.97907514451</v>
      </c>
      <c r="I55" s="861">
        <f>'ปันส่วนเงินงบประมาณ 2'!H47+ปันส่วนเงินนอกงบประมาณ!H48</f>
        <v>402569.41387283237</v>
      </c>
      <c r="J55" s="861">
        <f>'ปันส่วนเงินงบประมาณ 2'!I47+ปันส่วนเงินนอกงบประมาณ!I48</f>
        <v>970496.70393063582</v>
      </c>
      <c r="K55" s="861">
        <f>ปันส่วนเงินนอกงบประมาณ!N48</f>
        <v>1225.0850867052022</v>
      </c>
      <c r="L55" s="861">
        <f>ปันส่วนเงินนอกงบประมาณ!J48</f>
        <v>11172.739884393064</v>
      </c>
      <c r="M55" s="861">
        <f>'ปันส่วนเงินงบประมาณ 2'!J47+ปันส่วนเงินนอกงบประมาณ!K48</f>
        <v>165.10982658959531</v>
      </c>
      <c r="N55" s="862">
        <f t="shared" si="3"/>
        <v>3299152.5692485552</v>
      </c>
      <c r="O55" s="862">
        <f t="shared" si="5"/>
        <v>4211718.9163583815</v>
      </c>
    </row>
    <row r="56" spans="1:15">
      <c r="A56" s="860" t="s">
        <v>344</v>
      </c>
      <c r="B56" s="861">
        <f>'ปันส่วนเงินงบประมาณ 2'!C48+ปันส่วนเงินนอกงบประมาณ!C49</f>
        <v>933443.73</v>
      </c>
      <c r="C56" s="861">
        <f>'ปันส่วนเงินงบประมาณ 2'!D48+ปันส่วนเงินนอกงบประมาณ!D49</f>
        <v>30338.45</v>
      </c>
      <c r="D56" s="861">
        <f>'ปันส่วนเงินงบประมาณ 2'!E48+ปันส่วนเงินนอกงบประมาณ!E49</f>
        <v>6281.06</v>
      </c>
      <c r="E56" s="861">
        <f>ปันส่วนเงินนอกงบประมาณ!M49</f>
        <v>133449.63710982658</v>
      </c>
      <c r="F56" s="862">
        <f t="shared" si="4"/>
        <v>1103512.8771098265</v>
      </c>
      <c r="G56" s="861">
        <f>'ปันส่วนเงินงบประมาณ 2'!F48+ปันส่วนเงินนอกงบประมาณ!F49</f>
        <v>1793317.5375722544</v>
      </c>
      <c r="H56" s="861">
        <f>'ปันส่วนเงินงบประมาณ 2'!G48+ปันส่วนเงินนอกงบประมาณ!G49</f>
        <v>120205.97907514451</v>
      </c>
      <c r="I56" s="861">
        <f>'ปันส่วนเงินงบประมาณ 2'!H48+ปันส่วนเงินนอกงบประมาณ!H49</f>
        <v>402569.41387283237</v>
      </c>
      <c r="J56" s="861">
        <f>'ปันส่วนเงินงบประมาณ 2'!I48+ปันส่วนเงินนอกงบประมาณ!I49</f>
        <v>970496.70393063582</v>
      </c>
      <c r="K56" s="861">
        <f>ปันส่วนเงินนอกงบประมาณ!N49</f>
        <v>1225.0850867052022</v>
      </c>
      <c r="L56" s="861">
        <f>ปันส่วนเงินนอกงบประมาณ!J49</f>
        <v>11172.739884393064</v>
      </c>
      <c r="M56" s="861">
        <f>'ปันส่วนเงินงบประมาณ 2'!J48+ปันส่วนเงินนอกงบประมาณ!K49</f>
        <v>165.10982658959531</v>
      </c>
      <c r="N56" s="862">
        <f t="shared" si="3"/>
        <v>3299152.5692485552</v>
      </c>
      <c r="O56" s="862">
        <f t="shared" si="5"/>
        <v>4402665.4463583818</v>
      </c>
    </row>
    <row r="57" spans="1:15">
      <c r="A57" s="159" t="s">
        <v>1538</v>
      </c>
      <c r="B57" s="861">
        <f>'ปันส่วนเงินงบประมาณ 2'!C49+ปันส่วนเงินนอกงบประมาณ!C50</f>
        <v>1288093.97</v>
      </c>
      <c r="C57" s="861">
        <f>'ปันส่วนเงินงบประมาณ 2'!D49+ปันส่วนเงินนอกงบประมาณ!D50</f>
        <v>26073.45</v>
      </c>
      <c r="D57" s="861">
        <f>'ปันส่วนเงินงบประมาณ 2'!E49+ปันส่วนเงินนอกงบประมาณ!E50</f>
        <v>6401.06</v>
      </c>
      <c r="E57" s="861">
        <f>ปันส่วนเงินนอกงบประมาณ!M50</f>
        <v>133449.63710982658</v>
      </c>
      <c r="F57" s="862">
        <f t="shared" si="4"/>
        <v>1454018.1171098265</v>
      </c>
      <c r="G57" s="861">
        <f>'ปันส่วนเงินงบประมาณ 2'!F49+ปันส่วนเงินนอกงบประมาณ!F50</f>
        <v>1793317.5375722544</v>
      </c>
      <c r="H57" s="861">
        <f>'ปันส่วนเงินงบประมาณ 2'!G49+ปันส่วนเงินนอกงบประมาณ!G50</f>
        <v>120205.97907514451</v>
      </c>
      <c r="I57" s="861">
        <f>'ปันส่วนเงินงบประมาณ 2'!H49+ปันส่วนเงินนอกงบประมาณ!H50</f>
        <v>402569.41387283237</v>
      </c>
      <c r="J57" s="861">
        <f>'ปันส่วนเงินงบประมาณ 2'!I49+ปันส่วนเงินนอกงบประมาณ!I50</f>
        <v>970496.70393063582</v>
      </c>
      <c r="K57" s="861">
        <f>ปันส่วนเงินนอกงบประมาณ!N50</f>
        <v>1225.0850867052022</v>
      </c>
      <c r="L57" s="861">
        <f>ปันส่วนเงินนอกงบประมาณ!J50</f>
        <v>11172.739884393064</v>
      </c>
      <c r="M57" s="861">
        <f>'ปันส่วนเงินงบประมาณ 2'!J49+ปันส่วนเงินนอกงบประมาณ!K50</f>
        <v>165.10982658959531</v>
      </c>
      <c r="N57" s="862">
        <f t="shared" si="3"/>
        <v>3299152.5692485552</v>
      </c>
      <c r="O57" s="862">
        <f t="shared" si="5"/>
        <v>4753170.686358382</v>
      </c>
    </row>
    <row r="58" spans="1:15">
      <c r="A58" s="860" t="s">
        <v>346</v>
      </c>
      <c r="B58" s="861">
        <f>'ปันส่วนเงินงบประมาณ 2'!C50+ปันส่วนเงินนอกงบประมาณ!C51</f>
        <v>2169937.3600000003</v>
      </c>
      <c r="C58" s="861">
        <f>'ปันส่วนเงินงบประมาณ 2'!D50+ปันส่วนเงินนอกงบประมาณ!D51</f>
        <v>66528.45</v>
      </c>
      <c r="D58" s="861">
        <f>'ปันส่วนเงินงบประมาณ 2'!E50+ปันส่วนเงินนอกงบประมาณ!E51</f>
        <v>7001.06</v>
      </c>
      <c r="E58" s="861">
        <f>ปันส่วนเงินนอกงบประมาณ!M51</f>
        <v>333624.09277456644</v>
      </c>
      <c r="F58" s="862">
        <f t="shared" si="4"/>
        <v>2577090.9627745668</v>
      </c>
      <c r="G58" s="861">
        <f>'ปันส่วนเงินงบประมาณ 2'!F50+ปันส่วนเงินนอกงบประมาณ!F51</f>
        <v>4483293.8439306356</v>
      </c>
      <c r="H58" s="861">
        <f>'ปันส่วนเงินงบประมาณ 2'!G50+ปันส่วนเงินนอกงบประมาณ!G51</f>
        <v>300514.94768786122</v>
      </c>
      <c r="I58" s="861">
        <f>'ปันส่วนเงินงบประมาณ 2'!H50+ปันส่วนเงินนอกงบประมาณ!H51</f>
        <v>1006423.534682081</v>
      </c>
      <c r="J58" s="861">
        <f>'ปันส่วนเงินงบประมาณ 2'!I50+ปันส่วนเงินนอกงบประมาณ!I51</f>
        <v>2426241.7598265894</v>
      </c>
      <c r="K58" s="861">
        <f>ปันส่วนเงินนอกงบประมาณ!N51</f>
        <v>3062.712716763006</v>
      </c>
      <c r="L58" s="861">
        <f>ปันส่วนเงินนอกงบประมาณ!J51</f>
        <v>27931.84971098266</v>
      </c>
      <c r="M58" s="861">
        <f>'ปันส่วนเงินงบประมาณ 2'!J50+ปันส่วนเงินนอกงบประมาณ!K51</f>
        <v>412.77456647398827</v>
      </c>
      <c r="N58" s="862">
        <f t="shared" si="3"/>
        <v>8247881.4231213871</v>
      </c>
      <c r="O58" s="862">
        <f t="shared" si="5"/>
        <v>10824972.385895954</v>
      </c>
    </row>
    <row r="59" spans="1:15">
      <c r="A59" s="860" t="s">
        <v>347</v>
      </c>
      <c r="B59" s="861">
        <f>'ปันส่วนเงินงบประมาณ 2'!C51+ปันส่วนเงินนอกงบประมาณ!C52</f>
        <v>987505.1</v>
      </c>
      <c r="C59" s="861">
        <f>'ปันส่วนเงินงบประมาณ 2'!D51+ปันส่วนเงินนอกงบประมาณ!D52</f>
        <v>15300.45</v>
      </c>
      <c r="D59" s="861">
        <f>'ปันส่วนเงินงบประมาณ 2'!E51+ปันส่วนเงินนอกงบประมาณ!E52</f>
        <v>6521.06</v>
      </c>
      <c r="E59" s="861">
        <f>ปันส่วนเงินนอกงบประมาณ!M52</f>
        <v>133449.63710982658</v>
      </c>
      <c r="F59" s="862">
        <f t="shared" si="4"/>
        <v>1142776.2471098267</v>
      </c>
      <c r="G59" s="861">
        <f>'ปันส่วนเงินงบประมาณ 2'!F51+ปันส่วนเงินนอกงบประมาณ!F52</f>
        <v>1793317.5375722544</v>
      </c>
      <c r="H59" s="861">
        <f>'ปันส่วนเงินงบประมาณ 2'!G51+ปันส่วนเงินนอกงบประมาณ!G52</f>
        <v>120205.97907514451</v>
      </c>
      <c r="I59" s="861">
        <f>'ปันส่วนเงินงบประมาณ 2'!H51+ปันส่วนเงินนอกงบประมาณ!H52</f>
        <v>402569.41387283237</v>
      </c>
      <c r="J59" s="861">
        <f>'ปันส่วนเงินงบประมาณ 2'!I51+ปันส่วนเงินนอกงบประมาณ!I52</f>
        <v>970496.70393063582</v>
      </c>
      <c r="K59" s="861">
        <f>ปันส่วนเงินนอกงบประมาณ!N52</f>
        <v>1225.0850867052022</v>
      </c>
      <c r="L59" s="861">
        <f>ปันส่วนเงินนอกงบประมาณ!J52</f>
        <v>11172.739884393064</v>
      </c>
      <c r="M59" s="861">
        <f>'ปันส่วนเงินงบประมาณ 2'!J51+ปันส่วนเงินนอกงบประมาณ!K52</f>
        <v>165.10982658959531</v>
      </c>
      <c r="N59" s="862">
        <f t="shared" si="3"/>
        <v>3299152.5692485552</v>
      </c>
      <c r="O59" s="862">
        <f t="shared" si="5"/>
        <v>4441928.8163583819</v>
      </c>
    </row>
    <row r="60" spans="1:15">
      <c r="A60" s="860" t="s">
        <v>1498</v>
      </c>
      <c r="B60" s="861">
        <f>'ปันส่วนเงินงบประมาณ 2'!C52+ปันส่วนเงินนอกงบประมาณ!C53</f>
        <v>677732.72</v>
      </c>
      <c r="C60" s="861">
        <f>'ปันส่วนเงินงบประมาณ 2'!D52+ปันส่วนเงินนอกงบประมาณ!D53</f>
        <v>25323.200000000001</v>
      </c>
      <c r="D60" s="861">
        <f>'ปันส่วนเงินงบประมาณ 2'!E52+ปันส่วนเงินนอกงบประมาณ!E53</f>
        <v>6881.06</v>
      </c>
      <c r="E60" s="861">
        <f>ปันส่วนเงินนอกงบประมาณ!M53</f>
        <v>100087.22783236994</v>
      </c>
      <c r="F60" s="862">
        <f t="shared" si="4"/>
        <v>810024.20783236995</v>
      </c>
      <c r="G60" s="861">
        <f>'ปันส่วนเงินงบประมาณ 2'!F52+ปันส่วนเงินนอกงบประมาณ!F53</f>
        <v>1344988.1531791908</v>
      </c>
      <c r="H60" s="861">
        <f>'ปันส่วนเงินงบประมาณ 2'!G52+ปันส่วนเงินนอกงบประมาณ!G53</f>
        <v>90154.484306358383</v>
      </c>
      <c r="I60" s="861">
        <f>'ปันส่วนเงินงบประมาณ 2'!H52+ปันส่วนเงินนอกงบประมาณ!H53</f>
        <v>301927.06040462427</v>
      </c>
      <c r="J60" s="861">
        <f>'ปันส่วนเงินงบประมาณ 2'!I52+ปันส่วนเงินนอกงบประมาณ!I53</f>
        <v>727872.52794797695</v>
      </c>
      <c r="K60" s="861">
        <f>ปันส่วนเงินนอกงบประมาณ!N53</f>
        <v>918.81381502890179</v>
      </c>
      <c r="L60" s="861">
        <f>ปันส่วนเงินนอกงบประมาณ!J53</f>
        <v>8379.5549132947981</v>
      </c>
      <c r="M60" s="861">
        <f>'ปันส่วนเงินงบประมาณ 2'!J52+ปันส่วนเงินนอกงบประมาณ!K53</f>
        <v>123.83236994219649</v>
      </c>
      <c r="N60" s="862">
        <f t="shared" si="3"/>
        <v>2474364.4269364169</v>
      </c>
      <c r="O60" s="862">
        <f t="shared" si="5"/>
        <v>3284388.6347687868</v>
      </c>
    </row>
    <row r="61" spans="1:15">
      <c r="A61" s="860" t="s">
        <v>1535</v>
      </c>
      <c r="B61" s="861">
        <f>'ปันส่วนเงินงบประมาณ 2'!C53+ปันส่วนเงินนอกงบประมาณ!C54</f>
        <v>973368.97</v>
      </c>
      <c r="C61" s="861">
        <f>'ปันส่วนเงินงบประมาณ 2'!D53+ปันส่วนเงินนอกงบประมาณ!D54</f>
        <v>13490.45</v>
      </c>
      <c r="D61" s="861">
        <f>'ปันส่วนเงินงบประมาณ 2'!E53+ปันส่วนเงินนอกงบประมาณ!E54</f>
        <v>6401.06</v>
      </c>
      <c r="E61" s="861">
        <f>ปันส่วนเงินนอกงบประมาณ!M54</f>
        <v>100087.22783236994</v>
      </c>
      <c r="F61" s="862">
        <f t="shared" si="4"/>
        <v>1093347.70783237</v>
      </c>
      <c r="G61" s="861">
        <f>'ปันส่วนเงินงบประมาณ 2'!F53+ปันส่วนเงินนอกงบประมาณ!F54</f>
        <v>1344988.1531791908</v>
      </c>
      <c r="H61" s="861">
        <f>'ปันส่วนเงินงบประมาณ 2'!G53+ปันส่วนเงินนอกงบประมาณ!G54</f>
        <v>90154.484306358383</v>
      </c>
      <c r="I61" s="861">
        <f>'ปันส่วนเงินงบประมาณ 2'!H53+ปันส่วนเงินนอกงบประมาณ!H54</f>
        <v>301927.06040462427</v>
      </c>
      <c r="J61" s="861">
        <f>'ปันส่วนเงินงบประมาณ 2'!I53+ปันส่วนเงินนอกงบประมาณ!I54</f>
        <v>727872.52794797695</v>
      </c>
      <c r="K61" s="861">
        <f>ปันส่วนเงินนอกงบประมาณ!N54</f>
        <v>918.81381502890179</v>
      </c>
      <c r="L61" s="861">
        <f>ปันส่วนเงินนอกงบประมาณ!J54</f>
        <v>8379.5549132947981</v>
      </c>
      <c r="M61" s="861">
        <f>'ปันส่วนเงินงบประมาณ 2'!J53+ปันส่วนเงินนอกงบประมาณ!K54</f>
        <v>123.83236994219649</v>
      </c>
      <c r="N61" s="862">
        <f t="shared" si="3"/>
        <v>2474364.4269364169</v>
      </c>
      <c r="O61" s="862">
        <f t="shared" si="5"/>
        <v>3567712.1347687868</v>
      </c>
    </row>
    <row r="62" spans="1:15">
      <c r="A62" s="860" t="s">
        <v>1502</v>
      </c>
      <c r="B62" s="861">
        <f>'ปันส่วนเงินงบประมาณ 2'!C54+ปันส่วนเงินนอกงบประมาณ!C55</f>
        <v>2741539.3</v>
      </c>
      <c r="C62" s="861">
        <f>'ปันส่วนเงินงบประมาณ 2'!D54+ปันส่วนเงินนอกงบประมาณ!D55</f>
        <v>260986.34000000003</v>
      </c>
      <c r="D62" s="861">
        <f>'ปันส่วนเงินงบประมาณ 2'!E54+ปันส่วนเงินนอกงบประมาณ!E55</f>
        <v>7361.06</v>
      </c>
      <c r="E62" s="861">
        <f>ปันส่วนเงินนอกงบประมาณ!M55</f>
        <v>200174.45566473989</v>
      </c>
      <c r="F62" s="862">
        <f t="shared" si="4"/>
        <v>3210061.1556647397</v>
      </c>
      <c r="G62" s="861">
        <f>'ปันส่วนเงินงบประมาณ 2'!F54+ปันส่วนเงินนอกงบประมาณ!F55</f>
        <v>2689976.3063583816</v>
      </c>
      <c r="H62" s="861">
        <f>'ปันส่วนเงินงบประมาณ 2'!G54+ปันส่วนเงินนอกงบประมาณ!G55</f>
        <v>180308.96861271677</v>
      </c>
      <c r="I62" s="861">
        <f>'ปันส่วนเงินงบประมาณ 2'!H54+ปันส่วนเงินนอกงบประมาณ!H55</f>
        <v>603854.12080924853</v>
      </c>
      <c r="J62" s="861">
        <f>'ปันส่วนเงินงบประมาณ 2'!I54+ปันส่วนเงินนอกงบประมาณ!I55</f>
        <v>1455745.0558959539</v>
      </c>
      <c r="K62" s="861">
        <f>ปันส่วนเงินนอกงบประมาณ!N55</f>
        <v>1837.6276300578036</v>
      </c>
      <c r="L62" s="861">
        <f>ปันส่วนเงินนอกงบประมาณ!J55</f>
        <v>16759.109826589596</v>
      </c>
      <c r="M62" s="861">
        <f>'ปันส่วนเงินงบประมาณ 2'!J54+ปันส่วนเงินนอกงบประมาณ!K55</f>
        <v>247.66473988439299</v>
      </c>
      <c r="N62" s="862">
        <f t="shared" si="3"/>
        <v>4948728.8538728338</v>
      </c>
      <c r="O62" s="862">
        <f t="shared" si="5"/>
        <v>8158790.0095375739</v>
      </c>
    </row>
    <row r="63" spans="1:15">
      <c r="A63" s="860" t="s">
        <v>1500</v>
      </c>
      <c r="B63" s="861">
        <f>'ปันส่วนเงินงบประมาณ 2'!C55+ปันส่วนเงินนอกงบประมาณ!C56</f>
        <v>1137356.72</v>
      </c>
      <c r="C63" s="861">
        <f>'ปันส่วนเงินงบประมาณ 2'!D55+ปันส่วนเงินนอกงบประมาณ!D56</f>
        <v>48025.45</v>
      </c>
      <c r="D63" s="861">
        <f>'ปันส่วนเงินงบประมาณ 2'!E55+ปันส่วนเงินนอกงบประมาณ!E56</f>
        <v>110183.06</v>
      </c>
      <c r="E63" s="861">
        <f>ปันส่วนเงินนอกงบประมาณ!M56</f>
        <v>133449.63710982658</v>
      </c>
      <c r="F63" s="862">
        <f t="shared" si="4"/>
        <v>1429014.8671098265</v>
      </c>
      <c r="G63" s="861">
        <f>'ปันส่วนเงินงบประมาณ 2'!F55+ปันส่วนเงินนอกงบประมาณ!F56</f>
        <v>1793317.5375722544</v>
      </c>
      <c r="H63" s="861">
        <f>'ปันส่วนเงินงบประมาณ 2'!G55+ปันส่วนเงินนอกงบประมาณ!G56</f>
        <v>120205.97907514451</v>
      </c>
      <c r="I63" s="861">
        <f>'ปันส่วนเงินงบประมาณ 2'!H55+ปันส่วนเงินนอกงบประมาณ!H56</f>
        <v>402569.41387283237</v>
      </c>
      <c r="J63" s="861">
        <f>'ปันส่วนเงินงบประมาณ 2'!I55+ปันส่วนเงินนอกงบประมาณ!I56</f>
        <v>970496.70393063582</v>
      </c>
      <c r="K63" s="861">
        <f>ปันส่วนเงินนอกงบประมาณ!N56</f>
        <v>1225.0850867052022</v>
      </c>
      <c r="L63" s="861">
        <f>ปันส่วนเงินนอกงบประมาณ!J56</f>
        <v>11172.739884393064</v>
      </c>
      <c r="M63" s="861">
        <f>'ปันส่วนเงินงบประมาณ 2'!J55+ปันส่วนเงินนอกงบประมาณ!K56</f>
        <v>165.10982658959531</v>
      </c>
      <c r="N63" s="862">
        <f t="shared" si="3"/>
        <v>3299152.5692485552</v>
      </c>
      <c r="O63" s="862">
        <f t="shared" si="5"/>
        <v>4728167.436358382</v>
      </c>
    </row>
    <row r="64" spans="1:15">
      <c r="A64" s="863" t="s">
        <v>1501</v>
      </c>
      <c r="B64" s="864">
        <f>'ปันส่วนเงินงบประมาณ 2'!C56+ปันส่วนเงินนอกงบประมาณ!C57</f>
        <v>333720.15000000002</v>
      </c>
      <c r="C64" s="864">
        <f>'ปันส่วนเงินงบประมาณ 2'!D56+ปันส่วนเงินนอกงบประมาณ!D57</f>
        <v>12590.4</v>
      </c>
      <c r="D64" s="864">
        <f>'ปันส่วนเงินงบประมาณ 2'!E56+ปันส่วนเงินนอกงบประมาณ!E57</f>
        <v>6281.1200000000008</v>
      </c>
      <c r="E64" s="864">
        <f>ปันส่วนเงินนอกงบประมาณ!M57</f>
        <v>66724.81855491329</v>
      </c>
      <c r="F64" s="865">
        <f t="shared" si="4"/>
        <v>419316.48855491332</v>
      </c>
      <c r="G64" s="864">
        <f>'ปันส่วนเงินงบประมาณ 2'!F56+ปันส่วนเงินนอกงบประมาณ!F57</f>
        <v>896658.76878612721</v>
      </c>
      <c r="H64" s="864">
        <f>'ปันส่วนเงินงบประมาณ 2'!G56+ปันส่วนเงินนอกงบประมาณ!G57</f>
        <v>60102.989537572255</v>
      </c>
      <c r="I64" s="864">
        <f>'ปันส่วนเงินงบประมาณ 2'!H56+ปันส่วนเงินนอกงบประมาณ!H57</f>
        <v>201284.70693641619</v>
      </c>
      <c r="J64" s="864">
        <f>'ปันส่วนเงินงบประมาณ 2'!I56+ปันส่วนเงินนอกงบประมาณ!I57</f>
        <v>485248.35196531791</v>
      </c>
      <c r="K64" s="864">
        <f>ปันส่วนเงินนอกงบประมาณ!N57</f>
        <v>612.54254335260111</v>
      </c>
      <c r="L64" s="864">
        <f>ปันส่วนเงินนอกงบประมาณ!J57</f>
        <v>5586.3699421965321</v>
      </c>
      <c r="M64" s="864">
        <f>'ปันส่วนเงินงบประมาณ 2'!J56+ปันส่วนเงินนอกงบประมาณ!K57</f>
        <v>82.554913294797657</v>
      </c>
      <c r="N64" s="865">
        <f t="shared" si="3"/>
        <v>1649576.2846242776</v>
      </c>
      <c r="O64" s="865">
        <f t="shared" si="5"/>
        <v>2068892.7731791909</v>
      </c>
    </row>
    <row r="65" spans="1:16" s="870" customFormat="1" ht="22.5" thickBot="1">
      <c r="A65" s="866" t="s">
        <v>1</v>
      </c>
      <c r="B65" s="867">
        <f t="shared" ref="B65:O65" si="6">SUM(B6:B64)</f>
        <v>152824088.10000002</v>
      </c>
      <c r="C65" s="867">
        <f t="shared" si="6"/>
        <v>9518824.2799999956</v>
      </c>
      <c r="D65" s="867">
        <f t="shared" si="6"/>
        <v>939137.4100000012</v>
      </c>
      <c r="E65" s="868">
        <f>SUM(E6:E64)</f>
        <v>11543393.609999998</v>
      </c>
      <c r="F65" s="867">
        <f>SUM(F6:F64)</f>
        <v>174825443.40000001</v>
      </c>
      <c r="G65" s="867">
        <f t="shared" si="6"/>
        <v>155121967.00000006</v>
      </c>
      <c r="H65" s="867">
        <f t="shared" si="6"/>
        <v>10397817.189999999</v>
      </c>
      <c r="I65" s="867">
        <f t="shared" si="6"/>
        <v>34822254.299999997</v>
      </c>
      <c r="J65" s="867">
        <f t="shared" si="6"/>
        <v>83947964.889999986</v>
      </c>
      <c r="K65" s="867">
        <f>SUM(K6:K64)</f>
        <v>105969.86000000003</v>
      </c>
      <c r="L65" s="867">
        <f t="shared" si="6"/>
        <v>966442.00000000058</v>
      </c>
      <c r="M65" s="867">
        <f t="shared" si="6"/>
        <v>14281.999999999996</v>
      </c>
      <c r="N65" s="867">
        <f t="shared" si="6"/>
        <v>285376697.24000001</v>
      </c>
      <c r="O65" s="867">
        <f t="shared" si="6"/>
        <v>460202140.63999999</v>
      </c>
      <c r="P65" s="869"/>
    </row>
    <row r="66" spans="1:16" ht="22.5" thickTop="1">
      <c r="B66" s="871">
        <f>106161048.51+46663039.59</f>
        <v>152824088.10000002</v>
      </c>
      <c r="C66" s="871"/>
      <c r="D66" s="871"/>
      <c r="E66" s="871"/>
      <c r="F66" s="872">
        <f>SUM(B66:E66)</f>
        <v>152824088.10000002</v>
      </c>
      <c r="K66" s="873">
        <f>SUM(I65:K65)</f>
        <v>118876189.04999998</v>
      </c>
      <c r="M66" s="877">
        <f>G65+H65+L65+M65</f>
        <v>166500508.19000006</v>
      </c>
    </row>
    <row r="67" spans="1:16">
      <c r="F67" s="869">
        <f>152824088.1-F65</f>
        <v>-22001355.300000012</v>
      </c>
    </row>
    <row r="68" spans="1:16">
      <c r="B68" s="875"/>
      <c r="F68" s="872"/>
      <c r="G68" s="874"/>
      <c r="H68" s="874"/>
      <c r="I68" s="874"/>
      <c r="J68" s="874"/>
      <c r="K68" s="874"/>
      <c r="L68" s="874"/>
      <c r="M68" s="874"/>
      <c r="N68" s="874"/>
      <c r="O68" s="873"/>
    </row>
    <row r="69" spans="1:16">
      <c r="B69" s="873"/>
      <c r="C69" s="873"/>
      <c r="D69" s="873"/>
      <c r="E69" s="873"/>
      <c r="F69" s="873"/>
      <c r="G69" s="873"/>
      <c r="H69" s="873"/>
      <c r="I69" s="873"/>
      <c r="J69" s="873"/>
      <c r="K69" s="873"/>
      <c r="L69" s="873"/>
      <c r="M69" s="873"/>
      <c r="N69" s="873"/>
      <c r="O69" s="873"/>
    </row>
    <row r="70" spans="1:16">
      <c r="I70" s="873"/>
      <c r="J70" s="873"/>
      <c r="K70" s="873"/>
      <c r="L70" s="873"/>
    </row>
    <row r="71" spans="1:16">
      <c r="G71" s="876"/>
    </row>
    <row r="72" spans="1:16">
      <c r="F72" s="872"/>
    </row>
    <row r="74" spans="1:16">
      <c r="G74" s="873"/>
    </row>
    <row r="78" spans="1:16">
      <c r="K78" s="877"/>
    </row>
  </sheetData>
  <mergeCells count="6">
    <mergeCell ref="A1:O1"/>
    <mergeCell ref="A2:A4"/>
    <mergeCell ref="B2:F2"/>
    <mergeCell ref="G2:M2"/>
    <mergeCell ref="O2:O4"/>
    <mergeCell ref="N3:N4"/>
  </mergeCells>
  <pageMargins left="0.15748031496062992" right="0.19685039370078741" top="0.70866141732283472" bottom="0.74803149606299213" header="0.47244094488188981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4</vt:i4>
      </vt:variant>
    </vt:vector>
  </HeadingPairs>
  <TitlesOfParts>
    <vt:vector size="30" baseType="lpstr">
      <vt:lpstr>ตารางที่ 1 (2)</vt:lpstr>
      <vt:lpstr>table1</vt:lpstr>
      <vt:lpstr>รายงานต้นทุนตามแหล่งเงิน</vt:lpstr>
      <vt:lpstr>รายการที่ตัดออก</vt:lpstr>
      <vt:lpstr>GF</vt:lpstr>
      <vt:lpstr>Sheet1</vt:lpstr>
      <vt:lpstr>ตารางที่ 1</vt:lpstr>
      <vt:lpstr>1.1</vt:lpstr>
      <vt:lpstr>ตาราง 2</vt:lpstr>
      <vt:lpstr>ตาราง3</vt:lpstr>
      <vt:lpstr>3.1</vt:lpstr>
      <vt:lpstr>3.2</vt:lpstr>
      <vt:lpstr>ตาราง4</vt:lpstr>
      <vt:lpstr>4.1</vt:lpstr>
      <vt:lpstr>ตาราง5</vt:lpstr>
      <vt:lpstr>ตาราง6</vt:lpstr>
      <vt:lpstr>ตาราง7</vt:lpstr>
      <vt:lpstr>ตาราง8</vt:lpstr>
      <vt:lpstr>ตาราง9</vt:lpstr>
      <vt:lpstr>ตาราง10</vt:lpstr>
      <vt:lpstr>ตาราง11</vt:lpstr>
      <vt:lpstr>ตาราง12</vt:lpstr>
      <vt:lpstr>ตาราง12.1</vt:lpstr>
      <vt:lpstr>ปันส่วนเงินงบประมาณ 2</vt:lpstr>
      <vt:lpstr>ปันส่วนเงินนอกงบประมาณ</vt:lpstr>
      <vt:lpstr>Sheet2</vt:lpstr>
      <vt:lpstr>'ตารางที่ 1 (2)'!Print_Area</vt:lpstr>
      <vt:lpstr>'3.1'!Print_Titles</vt:lpstr>
      <vt:lpstr>'3.2'!Print_Titles</vt:lpstr>
      <vt:lpstr>ตาราง3!Print_Titles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DMSfinance</dc:creator>
  <cp:lastModifiedBy>User</cp:lastModifiedBy>
  <cp:lastPrinted>2026-02-17T02:04:49Z</cp:lastPrinted>
  <dcterms:created xsi:type="dcterms:W3CDTF">2018-12-16T11:17:01Z</dcterms:created>
  <dcterms:modified xsi:type="dcterms:W3CDTF">2026-02-17T02:06:09Z</dcterms:modified>
</cp:coreProperties>
</file>